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Управляющий\Маруцкий\Протоколы собраний 2017 год\протокол 1.17\Утвержденные документы собранием\"/>
    </mc:Choice>
  </mc:AlternateContent>
  <bookViews>
    <workbookView xWindow="0" yWindow="0" windowWidth="23040" windowHeight="9408" firstSheet="1" activeTab="2"/>
  </bookViews>
  <sheets>
    <sheet name="Приложение № 8" sheetId="6" r:id="rId1"/>
    <sheet name="Приложение № 16" sheetId="5" r:id="rId2"/>
    <sheet name="Пирложение № 17" sheetId="7" r:id="rId3"/>
    <sheet name="Приложение №12" sheetId="8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7" l="1"/>
  <c r="F22" i="6" l="1"/>
  <c r="J17" i="6"/>
  <c r="J16" i="6"/>
  <c r="J15" i="6"/>
  <c r="I17" i="6"/>
  <c r="I16" i="6"/>
  <c r="I15" i="6"/>
  <c r="H17" i="6"/>
  <c r="H16" i="6"/>
  <c r="H15" i="6"/>
  <c r="G17" i="6"/>
  <c r="G16" i="6"/>
  <c r="G15" i="6"/>
  <c r="G21" i="6"/>
  <c r="J56" i="8" l="1"/>
  <c r="J53" i="8"/>
  <c r="J52" i="8"/>
  <c r="J51" i="8"/>
  <c r="J50" i="8"/>
  <c r="J49" i="8"/>
  <c r="J47" i="8"/>
  <c r="J46" i="8"/>
  <c r="J54" i="8" s="1"/>
  <c r="J43" i="8"/>
  <c r="J42" i="8"/>
  <c r="J41" i="8"/>
  <c r="J40" i="8"/>
  <c r="J39" i="8"/>
  <c r="J38" i="8"/>
  <c r="J37" i="8"/>
  <c r="J36" i="8"/>
  <c r="J34" i="8"/>
  <c r="J33" i="8"/>
  <c r="J31" i="8"/>
  <c r="J30" i="8"/>
  <c r="J29" i="8"/>
  <c r="J28" i="8"/>
  <c r="J27" i="8"/>
  <c r="J25" i="8"/>
  <c r="J44" i="8" s="1"/>
  <c r="J22" i="8"/>
  <c r="J21" i="8"/>
  <c r="J20" i="8"/>
  <c r="J19" i="8"/>
  <c r="J18" i="8"/>
  <c r="J17" i="8"/>
  <c r="J16" i="8"/>
  <c r="J15" i="8"/>
  <c r="J23" i="8" s="1"/>
  <c r="M56" i="8"/>
  <c r="G54" i="8"/>
  <c r="P64" i="5" l="1"/>
  <c r="J62" i="8" l="1"/>
  <c r="J64" i="8" s="1"/>
  <c r="G57" i="8" s="1"/>
  <c r="J57" i="8" s="1"/>
  <c r="G44" i="8"/>
  <c r="M44" i="8" s="1"/>
  <c r="G23" i="8"/>
  <c r="M23" i="8" s="1"/>
  <c r="G58" i="8" l="1"/>
  <c r="M58" i="8" s="1"/>
  <c r="M54" i="8"/>
  <c r="M60" i="8" l="1"/>
  <c r="J58" i="8"/>
  <c r="P65" i="5"/>
  <c r="G66" i="5"/>
  <c r="G67" i="5" s="1"/>
  <c r="R61" i="5"/>
  <c r="P58" i="5"/>
  <c r="P63" i="5"/>
  <c r="S62" i="5"/>
  <c r="S63" i="5" s="1"/>
  <c r="S64" i="5" s="1"/>
  <c r="R44" i="5"/>
  <c r="R55" i="5"/>
  <c r="Q55" i="5"/>
  <c r="I30" i="5"/>
  <c r="G68" i="5" l="1"/>
  <c r="P24" i="5"/>
  <c r="P44" i="5"/>
  <c r="P55" i="5"/>
  <c r="M38" i="5" l="1"/>
  <c r="R24" i="5" l="1"/>
  <c r="Q24" i="5"/>
  <c r="R22" i="5"/>
  <c r="R60" i="5"/>
  <c r="M55" i="7" l="1"/>
  <c r="L54" i="7" l="1"/>
  <c r="M54" i="7" s="1"/>
  <c r="I41" i="7"/>
  <c r="K41" i="7" s="1"/>
  <c r="J36" i="7"/>
  <c r="J40" i="7"/>
  <c r="J20" i="7" l="1"/>
  <c r="J35" i="7"/>
  <c r="M27" i="7"/>
  <c r="I50" i="7"/>
  <c r="J49" i="7"/>
  <c r="L48" i="7"/>
  <c r="J47" i="7"/>
  <c r="L46" i="7"/>
  <c r="J46" i="7"/>
  <c r="J44" i="7"/>
  <c r="L43" i="7"/>
  <c r="J43" i="7"/>
  <c r="J38" i="7"/>
  <c r="L34" i="7"/>
  <c r="J34" i="7"/>
  <c r="L32" i="7"/>
  <c r="L41" i="7" s="1"/>
  <c r="N41" i="7" s="1"/>
  <c r="J32" i="7"/>
  <c r="J31" i="7"/>
  <c r="M30" i="7"/>
  <c r="J30" i="7"/>
  <c r="J29" i="7"/>
  <c r="M25" i="7"/>
  <c r="J25" i="7"/>
  <c r="I23" i="7"/>
  <c r="K23" i="7" s="1"/>
  <c r="L22" i="7"/>
  <c r="M21" i="7"/>
  <c r="J21" i="7"/>
  <c r="L19" i="7"/>
  <c r="J19" i="7"/>
  <c r="L18" i="7"/>
  <c r="J18" i="7"/>
  <c r="L17" i="7"/>
  <c r="J17" i="7"/>
  <c r="L16" i="7"/>
  <c r="J16" i="7"/>
  <c r="L15" i="7"/>
  <c r="J15" i="7"/>
  <c r="M14" i="7"/>
  <c r="J14" i="7"/>
  <c r="L13" i="7"/>
  <c r="J13" i="7"/>
  <c r="M41" i="7" l="1"/>
  <c r="K50" i="7"/>
  <c r="I52" i="7"/>
  <c r="K55" i="7" s="1"/>
  <c r="L23" i="7"/>
  <c r="N23" i="7" s="1"/>
  <c r="J41" i="7"/>
  <c r="L50" i="7"/>
  <c r="J23" i="7"/>
  <c r="J50" i="7"/>
  <c r="Q52" i="5"/>
  <c r="K52" i="7" l="1"/>
  <c r="K53" i="7" s="1"/>
  <c r="M50" i="7"/>
  <c r="N50" i="7"/>
  <c r="M23" i="7"/>
  <c r="J52" i="7"/>
  <c r="L52" i="7"/>
  <c r="K58" i="5"/>
  <c r="Q39" i="5"/>
  <c r="Q40" i="5"/>
  <c r="Q23" i="5"/>
  <c r="Q49" i="5"/>
  <c r="Q46" i="5"/>
  <c r="R38" i="5"/>
  <c r="Q34" i="5"/>
  <c r="R32" i="5"/>
  <c r="Q26" i="5"/>
  <c r="Q21" i="5"/>
  <c r="Q20" i="5"/>
  <c r="Q19" i="5"/>
  <c r="Q18" i="5"/>
  <c r="Q17" i="5"/>
  <c r="Q16" i="5"/>
  <c r="R15" i="5"/>
  <c r="Q14" i="5"/>
  <c r="O44" i="5"/>
  <c r="M14" i="5"/>
  <c r="O24" i="5"/>
  <c r="M21" i="5"/>
  <c r="M50" i="5"/>
  <c r="M49" i="5"/>
  <c r="M26" i="5"/>
  <c r="M22" i="5"/>
  <c r="M20" i="5"/>
  <c r="M18" i="5"/>
  <c r="M17" i="5"/>
  <c r="M16" i="5"/>
  <c r="M15" i="5"/>
  <c r="N56" i="7" l="1"/>
  <c r="N57" i="7" s="1"/>
  <c r="N52" i="7"/>
  <c r="N53" i="7" s="1"/>
  <c r="M52" i="7"/>
  <c r="S24" i="5"/>
  <c r="M24" i="5"/>
  <c r="Q44" i="5"/>
  <c r="S44" i="5" s="1"/>
  <c r="I16" i="5"/>
  <c r="I15" i="5"/>
  <c r="I14" i="5"/>
  <c r="N58" i="7" l="1"/>
  <c r="I60" i="7" s="1"/>
  <c r="H71" i="7" s="1"/>
  <c r="Q57" i="5"/>
  <c r="S55" i="5"/>
  <c r="N59" i="7" l="1"/>
  <c r="S65" i="5"/>
  <c r="R57" i="5"/>
  <c r="F21" i="6"/>
  <c r="J21" i="6"/>
  <c r="I21" i="6"/>
  <c r="H21" i="6"/>
  <c r="F24" i="6" l="1"/>
  <c r="G55" i="5"/>
  <c r="I44" i="5"/>
  <c r="O55" i="5"/>
  <c r="O57" i="5" s="1"/>
  <c r="M55" i="5"/>
  <c r="M44" i="5"/>
  <c r="I55" i="5"/>
  <c r="I24" i="5"/>
  <c r="G24" i="5"/>
  <c r="M57" i="5" l="1"/>
  <c r="P57" i="5"/>
  <c r="P62" i="5" l="1"/>
</calcChain>
</file>

<file path=xl/sharedStrings.xml><?xml version="1.0" encoding="utf-8"?>
<sst xmlns="http://schemas.openxmlformats.org/spreadsheetml/2006/main" count="242" uniqueCount="158">
  <si>
    <t>Утверждено общим собранием</t>
  </si>
  <si>
    <t>№ п/п</t>
  </si>
  <si>
    <t>Виды расходов</t>
  </si>
  <si>
    <t>стоимость за месяц</t>
  </si>
  <si>
    <t>стоимость услуги</t>
  </si>
  <si>
    <t>Должность</t>
  </si>
  <si>
    <t>ПФР 20%</t>
  </si>
  <si>
    <t>ФСС 0,2%</t>
  </si>
  <si>
    <t>1.</t>
  </si>
  <si>
    <t>П/налог 13%</t>
  </si>
  <si>
    <t>2.</t>
  </si>
  <si>
    <t>3.</t>
  </si>
  <si>
    <t>ИТОГО:</t>
  </si>
  <si>
    <t>Тарифы на содержание</t>
  </si>
  <si>
    <t>Расходы по управлению МКД</t>
  </si>
  <si>
    <t>Зарплата согласно штатного расписания</t>
  </si>
  <si>
    <t>Юридиские услуги</t>
  </si>
  <si>
    <t>Банковские услуги</t>
  </si>
  <si>
    <t>Услуги связи</t>
  </si>
  <si>
    <t>Почтовые услуги</t>
  </si>
  <si>
    <t>Итого по разделу 1</t>
  </si>
  <si>
    <t>Расходы на техническое обслуживание</t>
  </si>
  <si>
    <t>Комплексное техническое обслуживание ( сантехник,электрик,дворник,уборщица,вахтеры)</t>
  </si>
  <si>
    <t>Страхование лифтов</t>
  </si>
  <si>
    <t>Обслуживание лифтового оборудования</t>
  </si>
  <si>
    <t>Сантехматериалы(патрубки,краны и тп)</t>
  </si>
  <si>
    <t>Электротехнические материалы(лампочки,предохранители и тп)</t>
  </si>
  <si>
    <t>Обслуживание тепловых узлов</t>
  </si>
  <si>
    <t>Обслуживание электросчетчиков и электрохозяйства</t>
  </si>
  <si>
    <t>Обслуживание систем автоматики( пожарной сигнализации)</t>
  </si>
  <si>
    <t>ИТОГО по разделу 2</t>
  </si>
  <si>
    <t>Санитарная уборка жилого фонда</t>
  </si>
  <si>
    <t>Хозтовары (моющие средства инвентарь и тп)</t>
  </si>
  <si>
    <t>Санитарно экологическое обслужиавание (деротизация,дизенсекция и тп)</t>
  </si>
  <si>
    <t>Благоустройство территории</t>
  </si>
  <si>
    <t>ИТОГО по разделу 3</t>
  </si>
  <si>
    <t>ТСН " Орлово поле"</t>
  </si>
  <si>
    <t>стоимость услуг</t>
  </si>
  <si>
    <t>обслуживание приборов учета системы ГВС ( снятие показаний ,проверка)</t>
  </si>
  <si>
    <t>Обслуживание шлагбаума и видионаблюдения</t>
  </si>
  <si>
    <t>Вывоз КГМ</t>
  </si>
  <si>
    <t>Канцелярские услуги</t>
  </si>
  <si>
    <t>Энергоаудит(закон 261)</t>
  </si>
  <si>
    <t>Катриджи для оргтехники</t>
  </si>
  <si>
    <t>Налоги</t>
  </si>
  <si>
    <t>Вывоз снега</t>
  </si>
  <si>
    <t>Кол-во штатных едениц</t>
  </si>
  <si>
    <t>Програмное обслуживание(Программа + обслуживание)</t>
  </si>
  <si>
    <t>Закупка контейнера под ТКО</t>
  </si>
  <si>
    <t>Вывоз бытовых отходов (ТКО)</t>
  </si>
  <si>
    <t>Услуги РКЦ</t>
  </si>
  <si>
    <t>Обучение по электробезопасности</t>
  </si>
  <si>
    <t>Итого по всем разделам</t>
  </si>
  <si>
    <t>Факт за 6 месяцев</t>
  </si>
  <si>
    <t>план за 6 месяцев</t>
  </si>
  <si>
    <t>стоимость факт за месяц</t>
  </si>
  <si>
    <t>Факт за 7 месяцев</t>
  </si>
  <si>
    <t xml:space="preserve">Разница в сумме </t>
  </si>
  <si>
    <t>2015 год образование ТСН</t>
  </si>
  <si>
    <t>Сравнение сметы ТСН с тем ,что стало по факту с 01.07.15 по 31.12.15</t>
  </si>
  <si>
    <t>Перерасход по смете за 1 м.кв.</t>
  </si>
  <si>
    <t>Итог перерасход в 1 месяц</t>
  </si>
  <si>
    <t>Итог перерасход всего</t>
  </si>
  <si>
    <t>Распеределение перерасхода на 1 м.кв</t>
  </si>
  <si>
    <t>Площадь жилая без учета Кв.29</t>
  </si>
  <si>
    <t>Площадь жилая с учетом Кв.29</t>
  </si>
  <si>
    <t>Площадь нежелых помещений</t>
  </si>
  <si>
    <t>Непредвиденные расходы</t>
  </si>
  <si>
    <t>Тариф на техобслуживание помещений (Только жилая часть)</t>
  </si>
  <si>
    <r>
      <t xml:space="preserve">Итого после перасчета с площадью нежелых, иных помещений </t>
    </r>
    <r>
      <rPr>
        <b/>
        <sz val="11"/>
        <color rgb="FFC00000"/>
        <rFont val="Calibri"/>
        <family val="2"/>
        <charset val="204"/>
        <scheme val="minor"/>
      </rPr>
      <t>(с 01.05.16 по 01.07.16)</t>
    </r>
    <r>
      <rPr>
        <sz val="11"/>
        <color theme="1"/>
        <rFont val="Calibri"/>
        <family val="2"/>
        <charset val="204"/>
        <scheme val="minor"/>
      </rPr>
      <t>/</t>
    </r>
    <r>
      <rPr>
        <b/>
        <sz val="11"/>
        <color theme="8"/>
        <rFont val="Calibri"/>
        <family val="2"/>
        <charset val="204"/>
        <scheme val="minor"/>
      </rPr>
      <t>(с01.08.16. по 01.12.16)</t>
    </r>
  </si>
  <si>
    <t>Сравнение сметы ТСН с тем ,что стало по факту с 01.08.16 по 31.12.16</t>
  </si>
  <si>
    <t>Сравнение сметы ТСН с тем ,что стало по факту с 01.01.16 по 31.07.16</t>
  </si>
  <si>
    <t>Факт за 5 месяцев</t>
  </si>
  <si>
    <t>План за 5 месяцев</t>
  </si>
  <si>
    <t>стоимость План за месяц</t>
  </si>
  <si>
    <t>Работы по устронению кадастровой ошибки</t>
  </si>
  <si>
    <t>Сравнение сметы ТСН с тем ,что планировали с 01.08.16 по 31.12.16</t>
  </si>
  <si>
    <t>Площадь Кв.29</t>
  </si>
  <si>
    <t>Оборудование для опламбировки</t>
  </si>
  <si>
    <t xml:space="preserve">Итого по всем разделам </t>
  </si>
  <si>
    <t>Стоимость обслуживания только с учетом площадей жилой части</t>
  </si>
  <si>
    <t>руб.</t>
  </si>
  <si>
    <t>Непредвиденные расходы (Новогодние украшения)</t>
  </si>
  <si>
    <t>Возмещение затрат по обслуживанию нежелых, помещений за 1 месац с августа по декабрь 2016 /5 месяцев</t>
  </si>
  <si>
    <t>Возмещение затрат по обслуживанию , иных помещений за 1 месац с августа по декабрь 2016 /5 месяцев</t>
  </si>
  <si>
    <t>Площадь нежелых помещений план</t>
  </si>
  <si>
    <t>Площадь жилой и нежилой части(Офисы жил дома) План</t>
  </si>
  <si>
    <t>Площадь жилой и нежилой части(Офисы жил дома) Факт</t>
  </si>
  <si>
    <t>Площадь нежилых помещений (Офисы в жилом доме) в жилой части дома. Факт</t>
  </si>
  <si>
    <t>Сумма перерасхода за 2015 и 2016 года</t>
  </si>
  <si>
    <t>Возмещение затрат по обслуживанию нежелых, помещений за 3 месаца с мая 2016</t>
  </si>
  <si>
    <t xml:space="preserve">Перерасход на 1 м.кв равен </t>
  </si>
  <si>
    <t>Сумма разницы перерасхода и экономии с 01.07.15 по 31.12.16</t>
  </si>
  <si>
    <t>Програмное обслуживание (Программа + обслуживание)</t>
  </si>
  <si>
    <t>Возмещение затрат по обслуживанию , иных помещений за 2 месяца</t>
  </si>
  <si>
    <t>Распеределение перерасхода на 1 м.кв с учетом экономии за периуд с 01.08.16 по 31.12.16г. (119827,19)</t>
  </si>
  <si>
    <t xml:space="preserve">Анализ смет 2015 и 2016 года </t>
  </si>
  <si>
    <t>Итого в месяц затрат по штатному расписанию:</t>
  </si>
  <si>
    <t>Председатель ТСН</t>
  </si>
  <si>
    <t>Управляющий ТСН</t>
  </si>
  <si>
    <t>Бухгалтер ТСН</t>
  </si>
  <si>
    <t>Стоимость за месяц</t>
  </si>
  <si>
    <t>Стоимость услуги</t>
  </si>
  <si>
    <t>Юридиские и консультационные услуги,услуги системного администрирования.</t>
  </si>
  <si>
    <t>Услуги связи и интернет</t>
  </si>
  <si>
    <t xml:space="preserve">Заправка катриджий </t>
  </si>
  <si>
    <t>Комплексное техническое обслуживание (сантехник,электрик,дворник,уборщица(минимальный перечень работ),вахтеры).</t>
  </si>
  <si>
    <t>Резервный фонд (Фонд непредвиденных расходов)</t>
  </si>
  <si>
    <t>Обслуживание теплового пункта</t>
  </si>
  <si>
    <t>Програмное обслуживание</t>
  </si>
  <si>
    <t>Обучение по технике безопасности в электроустановках</t>
  </si>
  <si>
    <t>Обучение ответственного лица за организацию эксплуатации лифтов</t>
  </si>
  <si>
    <t>Атестация лифтов</t>
  </si>
  <si>
    <t>Обслуживание системы контроля доступа (Домофон,калитки,ворота.)</t>
  </si>
  <si>
    <t>Антивирусная программа для оборудования ТСН</t>
  </si>
  <si>
    <t>Ремонт оргтехники ТСН</t>
  </si>
  <si>
    <t>Итого по разделу 2</t>
  </si>
  <si>
    <t>Расходы коммунальных ресурсов, потребленных на общедомовые нужды в многоквартирном доме : Э.Э. 3738,151 Квт;ХВС 70 М3;ГВС 30 М3;Водоотведение 100 М3. СОИ(Содержание общего имущества)</t>
  </si>
  <si>
    <t>Вывоз ТБО</t>
  </si>
  <si>
    <t>Итого по разделу 3</t>
  </si>
  <si>
    <t xml:space="preserve"> 4.</t>
  </si>
  <si>
    <t>Доход ТСН</t>
  </si>
  <si>
    <t>Аренда фасада МКД под рекламу,аренда общего имущества МКД</t>
  </si>
  <si>
    <t>Возмещение затрат за техническое содержание нежелых,иных помещений МКД.</t>
  </si>
  <si>
    <t>Итоги:</t>
  </si>
  <si>
    <t>Нежилые помещения в Жилой части при площади 1813,6 кв.м. 36 руб.</t>
  </si>
  <si>
    <t>Ж/Д-</t>
  </si>
  <si>
    <t>Офисы жилой части дома -</t>
  </si>
  <si>
    <t xml:space="preserve">Сумма возмещения затрат с учетом 36 руб. за 1 кв.м. </t>
  </si>
  <si>
    <t xml:space="preserve">Сумма возмещения затрат  </t>
  </si>
  <si>
    <t>Итоговая сумма затрат</t>
  </si>
  <si>
    <t>Возмещение затрат по обслуживанию Т.П. №2</t>
  </si>
  <si>
    <t>Сумма возмещения затрат</t>
  </si>
  <si>
    <t>Всего по возмещению затрат на содержание МКД в рабочем состояние:офисы жилой части,обслуживание теплового пункта №2,иные момещения.</t>
  </si>
  <si>
    <t>Приложение №8 к собранию ТСН "Орлово поле" от 10.05.17г.</t>
  </si>
  <si>
    <t>Приложение № 12 к собранию ТСН "Орлово поле" от 10.05.2017г.</t>
  </si>
  <si>
    <t xml:space="preserve">Проект доходно расходной сметы ТСН "Орлово поле" с 01.05.2017г. </t>
  </si>
  <si>
    <t xml:space="preserve">Проект сметы доходов и расходов за 2017г. ( с 01.05.2017) </t>
  </si>
  <si>
    <t>Стоимость за 12 месяцев</t>
  </si>
  <si>
    <t>Всего затраты за 12 месяцев</t>
  </si>
  <si>
    <t>При площади 6298,5 кв.м. 41,5 руб.</t>
  </si>
  <si>
    <t>Приложение №17 к собранию ТСН " Орлово поле" от 10.05.17г.</t>
  </si>
  <si>
    <t>Приложение №16 к собранию ТСН " Орлово поле" от 10.05.17г.</t>
  </si>
  <si>
    <t>По факту после анализа смет 2015 и 2016 года было установленно ,что с учетом перерасхода и учетом экономии разница которую нужно погасить равна 209 170,52 рублей</t>
  </si>
  <si>
    <t>Сумма перерасхода с учетом экономии равна 209 170,52 руб</t>
  </si>
  <si>
    <t>Штатное расписания работников ТСН "Орлово поле" с 01.05.2017г.</t>
  </si>
  <si>
    <t>Штатное расписание с 01.05.2017г.</t>
  </si>
  <si>
    <t>ЗП (руб за 12 месяцев)</t>
  </si>
  <si>
    <t xml:space="preserve">ЗП  (руб с налогом 13%) </t>
  </si>
  <si>
    <t>Сумма экономии в по факту с 01.08.16 по 31.12.16</t>
  </si>
  <si>
    <t>Итог перерасход/экономия в 1 месяц</t>
  </si>
  <si>
    <t>Перерасход/экономия по смете за 1 м.кв.</t>
  </si>
  <si>
    <t>Итог перерасход/экономия всего</t>
  </si>
  <si>
    <t>Протоколом № 1/17    от "29" мая 2017г.</t>
  </si>
  <si>
    <t>Председатель ТСН "Орлово поле" Раков Е.Г.___________________________</t>
  </si>
  <si>
    <t>Иные помещения МКД</t>
  </si>
  <si>
    <t>Площади жилых помещений -</t>
  </si>
  <si>
    <t>Протоколом №1/17от "29" мая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</si>
</sst>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₽"/>
    <numFmt numFmtId="165" formatCode="0.0"/>
    <numFmt numFmtId="166" formatCode="#,##0.0"/>
    <numFmt numFmtId="167" formatCode="#,##0.0;[Red]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8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i/>
      <u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Alignment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2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166" fontId="0" fillId="2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left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0" borderId="1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5" fontId="0" fillId="5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4" fontId="0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6" fontId="7" fillId="2" borderId="10" xfId="0" applyNumberFormat="1" applyFont="1" applyFill="1" applyBorder="1" applyAlignment="1">
      <alignment horizontal="center" vertical="center" wrapText="1"/>
    </xf>
    <xf numFmtId="166" fontId="7" fillId="2" borderId="1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5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2" fontId="0" fillId="0" borderId="10" xfId="0" applyNumberFormat="1" applyBorder="1" applyAlignment="1">
      <alignment horizontal="left" wrapText="1"/>
    </xf>
    <xf numFmtId="2" fontId="0" fillId="0" borderId="11" xfId="0" applyNumberFormat="1" applyBorder="1" applyAlignment="1">
      <alignment horizontal="left" wrapText="1"/>
    </xf>
    <xf numFmtId="2" fontId="0" fillId="0" borderId="12" xfId="0" applyNumberForma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2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0" fillId="0" borderId="2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4" fillId="0" borderId="10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8" xfId="0" applyNumberFormat="1" applyBorder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2" fontId="0" fillId="0" borderId="9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left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2" fillId="5" borderId="6" xfId="0" applyFont="1" applyFill="1" applyBorder="1" applyAlignment="1">
      <alignment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/>
    <xf numFmtId="0" fontId="12" fillId="0" borderId="0" xfId="0" applyFont="1" applyAlignment="1">
      <alignment horizontal="left" vertical="top"/>
    </xf>
    <xf numFmtId="0" fontId="12" fillId="0" borderId="0" xfId="0" applyFont="1"/>
    <xf numFmtId="0" fontId="4" fillId="5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J24"/>
  <sheetViews>
    <sheetView topLeftCell="A12" workbookViewId="0">
      <selection activeCell="F22" sqref="F22"/>
    </sheetView>
  </sheetViews>
  <sheetFormatPr defaultRowHeight="14.4" x14ac:dyDescent="0.3"/>
  <cols>
    <col min="4" max="4" width="15.109375" customWidth="1"/>
    <col min="5" max="5" width="13.5546875" customWidth="1"/>
    <col min="6" max="6" width="22" customWidth="1"/>
    <col min="7" max="7" width="21.33203125" customWidth="1"/>
    <col min="10" max="10" width="13.44140625" customWidth="1"/>
  </cols>
  <sheetData>
    <row r="5" spans="2:10" x14ac:dyDescent="0.3">
      <c r="B5" t="s">
        <v>134</v>
      </c>
    </row>
    <row r="6" spans="2:10" x14ac:dyDescent="0.3">
      <c r="B6" s="8" t="s">
        <v>145</v>
      </c>
      <c r="C6" s="8"/>
      <c r="D6" s="8"/>
      <c r="E6" s="8"/>
      <c r="F6" s="8"/>
      <c r="G6" s="6"/>
    </row>
    <row r="7" spans="2:10" x14ac:dyDescent="0.3">
      <c r="B7" s="6" t="s">
        <v>0</v>
      </c>
      <c r="C7" s="6"/>
      <c r="D7" s="6"/>
      <c r="E7" s="6"/>
      <c r="G7" s="6"/>
    </row>
    <row r="8" spans="2:10" ht="18" x14ac:dyDescent="0.35">
      <c r="B8" s="9" t="s">
        <v>36</v>
      </c>
      <c r="C8" s="6"/>
      <c r="D8" s="6"/>
      <c r="E8" s="6"/>
      <c r="G8" s="6"/>
    </row>
    <row r="9" spans="2:10" ht="14.4" customHeight="1" x14ac:dyDescent="0.3">
      <c r="B9" s="6" t="s">
        <v>153</v>
      </c>
      <c r="C9" s="6"/>
      <c r="D9" s="6"/>
      <c r="E9" s="6"/>
      <c r="G9" s="6"/>
    </row>
    <row r="10" spans="2:10" ht="18" customHeight="1" x14ac:dyDescent="0.3">
      <c r="B10" s="88" t="s">
        <v>154</v>
      </c>
      <c r="C10" s="88"/>
      <c r="D10" s="88"/>
      <c r="E10" s="88"/>
      <c r="F10" s="88"/>
    </row>
    <row r="12" spans="2:10" x14ac:dyDescent="0.3">
      <c r="B12" s="59"/>
      <c r="C12" s="59" t="s">
        <v>146</v>
      </c>
      <c r="D12" s="59"/>
      <c r="E12" s="59"/>
      <c r="F12" s="59"/>
      <c r="G12" s="59"/>
      <c r="H12" s="59"/>
      <c r="I12" s="59"/>
      <c r="J12" s="59"/>
    </row>
    <row r="13" spans="2:10" ht="43.2" x14ac:dyDescent="0.3">
      <c r="B13" s="50" t="s">
        <v>1</v>
      </c>
      <c r="C13" s="50" t="s">
        <v>5</v>
      </c>
      <c r="D13" s="50"/>
      <c r="E13" s="51" t="s">
        <v>46</v>
      </c>
      <c r="F13" s="50" t="s">
        <v>148</v>
      </c>
      <c r="G13" s="50" t="s">
        <v>147</v>
      </c>
      <c r="H13" s="50" t="s">
        <v>6</v>
      </c>
      <c r="I13" s="50" t="s">
        <v>7</v>
      </c>
      <c r="J13" s="50" t="s">
        <v>9</v>
      </c>
    </row>
    <row r="14" spans="2:10" x14ac:dyDescent="0.3">
      <c r="B14" s="50"/>
      <c r="C14" s="83"/>
      <c r="D14" s="84"/>
      <c r="E14" s="51"/>
      <c r="F14" s="50"/>
      <c r="G14" s="50"/>
      <c r="H14" s="50"/>
      <c r="I14" s="50"/>
      <c r="J14" s="50"/>
    </row>
    <row r="15" spans="2:10" x14ac:dyDescent="0.3">
      <c r="B15" s="50" t="s">
        <v>8</v>
      </c>
      <c r="C15" s="52" t="s">
        <v>98</v>
      </c>
      <c r="D15" s="52"/>
      <c r="E15" s="50">
        <v>1</v>
      </c>
      <c r="F15" s="50">
        <v>34482.76</v>
      </c>
      <c r="G15" s="53">
        <f>F15*12</f>
        <v>413793.12</v>
      </c>
      <c r="H15" s="50">
        <f>6896.55*12</f>
        <v>82758.600000000006</v>
      </c>
      <c r="I15" s="50">
        <f>68.97*12</f>
        <v>827.64</v>
      </c>
      <c r="J15" s="53">
        <f>4483*12</f>
        <v>53796</v>
      </c>
    </row>
    <row r="16" spans="2:10" x14ac:dyDescent="0.3">
      <c r="B16" s="50" t="s">
        <v>10</v>
      </c>
      <c r="C16" s="86" t="s">
        <v>99</v>
      </c>
      <c r="D16" s="87"/>
      <c r="E16" s="50">
        <v>1</v>
      </c>
      <c r="F16" s="50">
        <v>40229.89</v>
      </c>
      <c r="G16" s="53">
        <f>F16*12</f>
        <v>482758.68</v>
      </c>
      <c r="H16" s="50">
        <f>8045.98*12</f>
        <v>96551.76</v>
      </c>
      <c r="I16" s="50">
        <f>80.46*12</f>
        <v>965.52</v>
      </c>
      <c r="J16" s="53">
        <f>5230*12</f>
        <v>62760</v>
      </c>
    </row>
    <row r="17" spans="2:10" x14ac:dyDescent="0.3">
      <c r="B17" s="50" t="s">
        <v>11</v>
      </c>
      <c r="C17" s="86" t="s">
        <v>100</v>
      </c>
      <c r="D17" s="87"/>
      <c r="E17" s="50">
        <v>1</v>
      </c>
      <c r="F17" s="50">
        <v>22988.51</v>
      </c>
      <c r="G17" s="53">
        <f>F17*12</f>
        <v>275862.12</v>
      </c>
      <c r="H17" s="50">
        <f>4597.7*12</f>
        <v>55172.399999999994</v>
      </c>
      <c r="I17" s="50">
        <f>45.98*12</f>
        <v>551.76</v>
      </c>
      <c r="J17" s="53">
        <f>2989*12</f>
        <v>35868</v>
      </c>
    </row>
    <row r="18" spans="2:10" x14ac:dyDescent="0.3">
      <c r="B18" s="50"/>
      <c r="C18" s="83"/>
      <c r="D18" s="84"/>
      <c r="E18" s="50"/>
      <c r="F18" s="50"/>
      <c r="G18" s="53"/>
      <c r="H18" s="50"/>
      <c r="I18" s="50"/>
      <c r="J18" s="50"/>
    </row>
    <row r="19" spans="2:10" x14ac:dyDescent="0.3">
      <c r="B19" s="50"/>
      <c r="C19" s="83"/>
      <c r="D19" s="84"/>
      <c r="E19" s="50"/>
      <c r="F19" s="50"/>
      <c r="G19" s="53"/>
      <c r="H19" s="50"/>
      <c r="I19" s="50"/>
      <c r="J19" s="50"/>
    </row>
    <row r="20" spans="2:10" x14ac:dyDescent="0.3">
      <c r="B20" s="50"/>
      <c r="C20" s="83"/>
      <c r="D20" s="84"/>
      <c r="E20" s="50"/>
      <c r="F20" s="50"/>
      <c r="G20" s="53"/>
      <c r="H20" s="50"/>
      <c r="I20" s="50"/>
      <c r="J20" s="50"/>
    </row>
    <row r="21" spans="2:10" x14ac:dyDescent="0.3">
      <c r="B21" s="54"/>
      <c r="C21" s="85" t="s">
        <v>12</v>
      </c>
      <c r="D21" s="85"/>
      <c r="E21" s="54"/>
      <c r="F21" s="80">
        <f>SUM(F15:F20)</f>
        <v>97701.159999999989</v>
      </c>
      <c r="G21" s="55">
        <f>F21*12</f>
        <v>1172413.92</v>
      </c>
      <c r="H21" s="56">
        <f>SUM(H15:H20)</f>
        <v>234482.75999999998</v>
      </c>
      <c r="I21" s="56">
        <f>SUM(I15:I20)</f>
        <v>2344.92</v>
      </c>
      <c r="J21" s="57">
        <f>SUM(J15:J20)</f>
        <v>152424</v>
      </c>
    </row>
    <row r="22" spans="2:10" x14ac:dyDescent="0.3">
      <c r="B22" s="85" t="s">
        <v>97</v>
      </c>
      <c r="C22" s="85"/>
      <c r="D22" s="85"/>
      <c r="E22" s="85"/>
      <c r="F22" s="61">
        <f>(G21+H21+I21)/12</f>
        <v>117436.79999999999</v>
      </c>
      <c r="G22" s="59"/>
      <c r="H22" s="59"/>
      <c r="I22" s="59"/>
      <c r="J22" s="59"/>
    </row>
    <row r="23" spans="2:10" x14ac:dyDescent="0.3">
      <c r="B23" s="59"/>
      <c r="C23" s="59"/>
      <c r="D23" s="59"/>
      <c r="E23" s="59"/>
      <c r="F23" s="59"/>
      <c r="G23" s="59"/>
      <c r="H23" s="59"/>
      <c r="I23" s="59"/>
      <c r="J23" s="59"/>
    </row>
    <row r="24" spans="2:10" x14ac:dyDescent="0.3">
      <c r="B24" s="58"/>
      <c r="C24" s="58" t="s">
        <v>139</v>
      </c>
      <c r="D24" s="58"/>
      <c r="E24" s="58"/>
      <c r="F24" s="60">
        <f>F22*12</f>
        <v>1409241.5999999999</v>
      </c>
      <c r="G24" s="59"/>
      <c r="H24" s="59"/>
      <c r="I24" s="59"/>
      <c r="J24" s="59"/>
    </row>
  </sheetData>
  <mergeCells count="9">
    <mergeCell ref="B10:F10"/>
    <mergeCell ref="C14:D14"/>
    <mergeCell ref="C18:D18"/>
    <mergeCell ref="C19:D19"/>
    <mergeCell ref="B22:E22"/>
    <mergeCell ref="C20:D20"/>
    <mergeCell ref="C21:D21"/>
    <mergeCell ref="C17:D17"/>
    <mergeCell ref="C16:D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zoomScale="70" zoomScaleNormal="70" workbookViewId="0">
      <selection activeCell="A3" sqref="A3:F6"/>
    </sheetView>
  </sheetViews>
  <sheetFormatPr defaultRowHeight="14.4" x14ac:dyDescent="0.3"/>
  <cols>
    <col min="6" max="6" width="21" customWidth="1"/>
    <col min="7" max="7" width="13.109375" customWidth="1"/>
    <col min="8" max="8" width="5" hidden="1" customWidth="1"/>
    <col min="9" max="9" width="13" customWidth="1"/>
    <col min="10" max="10" width="5.21875" hidden="1" customWidth="1"/>
    <col min="11" max="11" width="11.44140625" customWidth="1"/>
    <col min="12" max="12" width="8.88671875" hidden="1" customWidth="1"/>
    <col min="13" max="13" width="12.33203125" customWidth="1"/>
    <col min="14" max="14" width="5.21875" hidden="1" customWidth="1"/>
    <col min="15" max="15" width="12.6640625" customWidth="1"/>
    <col min="16" max="16" width="12.33203125" customWidth="1"/>
    <col min="17" max="17" width="12.6640625" customWidth="1"/>
    <col min="18" max="18" width="13.33203125" customWidth="1"/>
    <col min="19" max="19" width="14.44140625" customWidth="1"/>
    <col min="20" max="20" width="11.21875" customWidth="1"/>
    <col min="21" max="21" width="13.21875" customWidth="1"/>
    <col min="22" max="22" width="12.33203125" customWidth="1"/>
    <col min="23" max="23" width="13.44140625" customWidth="1"/>
    <col min="24" max="24" width="14.5546875" customWidth="1"/>
    <col min="25" max="25" width="11" customWidth="1"/>
  </cols>
  <sheetData>
    <row r="1" spans="1:19" ht="18" x14ac:dyDescent="0.35">
      <c r="A1" s="176" t="s">
        <v>142</v>
      </c>
      <c r="B1" s="176"/>
      <c r="C1" s="176"/>
      <c r="D1" s="176"/>
      <c r="E1" s="176"/>
      <c r="F1" s="176"/>
      <c r="G1" s="176"/>
    </row>
    <row r="3" spans="1:19" x14ac:dyDescent="0.3">
      <c r="A3" s="82" t="s">
        <v>0</v>
      </c>
      <c r="B3" s="82"/>
      <c r="C3" s="82"/>
      <c r="D3" s="82"/>
    </row>
    <row r="4" spans="1:19" ht="18" x14ac:dyDescent="0.35">
      <c r="A4" s="81" t="s">
        <v>36</v>
      </c>
      <c r="B4" s="82"/>
      <c r="C4" s="82"/>
      <c r="D4" s="82"/>
    </row>
    <row r="5" spans="1:19" x14ac:dyDescent="0.3">
      <c r="A5" s="82" t="s">
        <v>153</v>
      </c>
      <c r="B5" s="82"/>
      <c r="C5" s="82"/>
      <c r="D5" s="82"/>
    </row>
    <row r="6" spans="1:19" x14ac:dyDescent="0.3">
      <c r="A6" s="3" t="s">
        <v>154</v>
      </c>
      <c r="B6" s="3"/>
      <c r="C6" s="3"/>
      <c r="D6" s="3"/>
      <c r="E6" s="3"/>
    </row>
    <row r="7" spans="1:19" x14ac:dyDescent="0.3">
      <c r="C7" s="89" t="s">
        <v>96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9" spans="1:19" ht="34.799999999999997" customHeight="1" x14ac:dyDescent="0.3">
      <c r="A9" s="163" t="s">
        <v>1</v>
      </c>
      <c r="B9" s="160"/>
      <c r="C9" s="161"/>
      <c r="D9" s="161"/>
      <c r="E9" s="161"/>
      <c r="F9" s="162"/>
      <c r="G9" s="159" t="s">
        <v>58</v>
      </c>
      <c r="H9" s="159"/>
      <c r="I9" s="159"/>
      <c r="J9" s="159"/>
      <c r="K9" s="159"/>
      <c r="L9" s="31"/>
      <c r="M9" s="159" t="s">
        <v>59</v>
      </c>
      <c r="N9" s="159"/>
      <c r="O9" s="159"/>
      <c r="P9" s="159"/>
      <c r="Q9" s="160" t="s">
        <v>71</v>
      </c>
      <c r="R9" s="161"/>
      <c r="S9" s="162"/>
    </row>
    <row r="10" spans="1:19" ht="14.4" customHeight="1" x14ac:dyDescent="0.3">
      <c r="A10" s="164"/>
      <c r="B10" s="179" t="s">
        <v>2</v>
      </c>
      <c r="C10" s="180"/>
      <c r="D10" s="180"/>
      <c r="E10" s="180"/>
      <c r="F10" s="181"/>
      <c r="G10" s="100" t="s">
        <v>3</v>
      </c>
      <c r="H10" s="101"/>
      <c r="I10" s="100" t="s">
        <v>54</v>
      </c>
      <c r="J10" s="101"/>
      <c r="K10" s="100" t="s">
        <v>4</v>
      </c>
      <c r="L10" s="101"/>
      <c r="M10" s="100" t="s">
        <v>55</v>
      </c>
      <c r="N10" s="101"/>
      <c r="O10" s="100" t="s">
        <v>53</v>
      </c>
      <c r="P10" s="100" t="s">
        <v>37</v>
      </c>
      <c r="Q10" s="157" t="s">
        <v>55</v>
      </c>
      <c r="R10" s="157" t="s">
        <v>56</v>
      </c>
      <c r="S10" s="157" t="s">
        <v>37</v>
      </c>
    </row>
    <row r="11" spans="1:19" ht="35.4" customHeight="1" x14ac:dyDescent="0.3">
      <c r="A11" s="165"/>
      <c r="B11" s="182"/>
      <c r="C11" s="183"/>
      <c r="D11" s="183"/>
      <c r="E11" s="183"/>
      <c r="F11" s="184"/>
      <c r="G11" s="120"/>
      <c r="H11" s="121"/>
      <c r="I11" s="120"/>
      <c r="J11" s="121"/>
      <c r="K11" s="120"/>
      <c r="L11" s="121"/>
      <c r="M11" s="120"/>
      <c r="N11" s="121"/>
      <c r="O11" s="120"/>
      <c r="P11" s="120"/>
      <c r="Q11" s="158"/>
      <c r="R11" s="158"/>
      <c r="S11" s="158"/>
    </row>
    <row r="12" spans="1:19" x14ac:dyDescent="0.3">
      <c r="A12" s="1"/>
      <c r="B12" s="141" t="s">
        <v>13</v>
      </c>
      <c r="C12" s="142"/>
      <c r="D12" s="142"/>
      <c r="E12" s="142"/>
      <c r="F12" s="143"/>
      <c r="G12" s="105"/>
      <c r="H12" s="106"/>
      <c r="I12" s="105"/>
      <c r="J12" s="106"/>
      <c r="K12" s="105"/>
      <c r="L12" s="106"/>
      <c r="M12" s="105"/>
      <c r="N12" s="106"/>
      <c r="O12" s="18"/>
      <c r="P12" s="18"/>
      <c r="Q12" s="14"/>
      <c r="R12" s="14"/>
      <c r="S12" s="14"/>
    </row>
    <row r="13" spans="1:19" x14ac:dyDescent="0.3">
      <c r="A13" s="1" t="s">
        <v>8</v>
      </c>
      <c r="B13" s="141" t="s">
        <v>14</v>
      </c>
      <c r="C13" s="142"/>
      <c r="D13" s="142"/>
      <c r="E13" s="142"/>
      <c r="F13" s="143"/>
      <c r="G13" s="105"/>
      <c r="H13" s="106"/>
      <c r="I13" s="105"/>
      <c r="J13" s="106"/>
      <c r="K13" s="105"/>
      <c r="L13" s="106"/>
      <c r="M13" s="105"/>
      <c r="N13" s="106"/>
      <c r="O13" s="18"/>
      <c r="P13" s="18"/>
      <c r="Q13" s="14"/>
      <c r="R13" s="14"/>
      <c r="S13" s="14"/>
    </row>
    <row r="14" spans="1:19" x14ac:dyDescent="0.3">
      <c r="A14" s="1"/>
      <c r="B14" s="122" t="s">
        <v>15</v>
      </c>
      <c r="C14" s="123"/>
      <c r="D14" s="123"/>
      <c r="E14" s="123"/>
      <c r="F14" s="124"/>
      <c r="G14" s="98">
        <v>88275.839999999997</v>
      </c>
      <c r="H14" s="99"/>
      <c r="I14" s="98">
        <f>G14*6</f>
        <v>529655.04000000004</v>
      </c>
      <c r="J14" s="99"/>
      <c r="K14" s="105"/>
      <c r="L14" s="106"/>
      <c r="M14" s="98">
        <f>O14/6</f>
        <v>89804.333333333328</v>
      </c>
      <c r="N14" s="99"/>
      <c r="O14" s="17">
        <v>538826</v>
      </c>
      <c r="P14" s="18"/>
      <c r="Q14" s="14">
        <f>R14/7</f>
        <v>83364.854285714289</v>
      </c>
      <c r="R14" s="14">
        <v>583553.98</v>
      </c>
      <c r="S14" s="14"/>
    </row>
    <row r="15" spans="1:19" x14ac:dyDescent="0.3">
      <c r="A15" s="1"/>
      <c r="B15" s="122" t="s">
        <v>16</v>
      </c>
      <c r="C15" s="123"/>
      <c r="D15" s="123"/>
      <c r="E15" s="123"/>
      <c r="F15" s="124"/>
      <c r="G15" s="98">
        <v>2000</v>
      </c>
      <c r="H15" s="99"/>
      <c r="I15" s="98">
        <f>G15*6</f>
        <v>12000</v>
      </c>
      <c r="J15" s="99"/>
      <c r="K15" s="105"/>
      <c r="L15" s="106"/>
      <c r="M15" s="98">
        <f>O15/6</f>
        <v>5500</v>
      </c>
      <c r="N15" s="99"/>
      <c r="O15" s="17">
        <v>33000</v>
      </c>
      <c r="P15" s="18"/>
      <c r="Q15" s="14">
        <v>16500</v>
      </c>
      <c r="R15" s="14">
        <f>Q15*7</f>
        <v>115500</v>
      </c>
      <c r="S15" s="14"/>
    </row>
    <row r="16" spans="1:19" x14ac:dyDescent="0.3">
      <c r="A16" s="1"/>
      <c r="B16" s="122" t="s">
        <v>17</v>
      </c>
      <c r="C16" s="123"/>
      <c r="D16" s="123"/>
      <c r="E16" s="123"/>
      <c r="F16" s="124"/>
      <c r="G16" s="98">
        <v>3250</v>
      </c>
      <c r="H16" s="99"/>
      <c r="I16" s="98">
        <f>G16*6</f>
        <v>19500</v>
      </c>
      <c r="J16" s="99"/>
      <c r="K16" s="105"/>
      <c r="L16" s="106"/>
      <c r="M16" s="98">
        <f>O16/6</f>
        <v>8344.1633333333339</v>
      </c>
      <c r="N16" s="99"/>
      <c r="O16" s="17">
        <v>50064.98</v>
      </c>
      <c r="P16" s="18"/>
      <c r="Q16" s="14">
        <f t="shared" ref="Q16:Q21" si="0">R16/7</f>
        <v>10652.455714285714</v>
      </c>
      <c r="R16" s="14">
        <v>74567.19</v>
      </c>
      <c r="S16" s="14"/>
    </row>
    <row r="17" spans="1:19" x14ac:dyDescent="0.3">
      <c r="A17" s="1"/>
      <c r="B17" s="122" t="s">
        <v>18</v>
      </c>
      <c r="C17" s="123"/>
      <c r="D17" s="123"/>
      <c r="E17" s="123"/>
      <c r="F17" s="124"/>
      <c r="G17" s="98">
        <v>427</v>
      </c>
      <c r="H17" s="99"/>
      <c r="I17" s="98">
        <v>2562</v>
      </c>
      <c r="J17" s="99"/>
      <c r="K17" s="105"/>
      <c r="L17" s="106"/>
      <c r="M17" s="98">
        <f>O17/6</f>
        <v>46.610000000000007</v>
      </c>
      <c r="N17" s="99"/>
      <c r="O17" s="17">
        <v>279.66000000000003</v>
      </c>
      <c r="P17" s="18"/>
      <c r="Q17" s="14">
        <f t="shared" si="0"/>
        <v>290.68428571428569</v>
      </c>
      <c r="R17" s="14">
        <v>2034.79</v>
      </c>
      <c r="S17" s="14"/>
    </row>
    <row r="18" spans="1:19" x14ac:dyDescent="0.3">
      <c r="A18" s="1"/>
      <c r="B18" s="122" t="s">
        <v>41</v>
      </c>
      <c r="C18" s="123"/>
      <c r="D18" s="123"/>
      <c r="E18" s="123"/>
      <c r="F18" s="124"/>
      <c r="G18" s="98">
        <v>600</v>
      </c>
      <c r="H18" s="99"/>
      <c r="I18" s="98">
        <v>3600</v>
      </c>
      <c r="J18" s="99"/>
      <c r="K18" s="105"/>
      <c r="L18" s="106"/>
      <c r="M18" s="98">
        <f>O18/6</f>
        <v>640.25</v>
      </c>
      <c r="N18" s="99"/>
      <c r="O18" s="17">
        <v>3841.5</v>
      </c>
      <c r="P18" s="18"/>
      <c r="Q18" s="14">
        <f t="shared" si="0"/>
        <v>1656.962857142857</v>
      </c>
      <c r="R18" s="14">
        <v>11598.74</v>
      </c>
      <c r="S18" s="14"/>
    </row>
    <row r="19" spans="1:19" x14ac:dyDescent="0.3">
      <c r="A19" s="1"/>
      <c r="B19" s="122" t="s">
        <v>19</v>
      </c>
      <c r="C19" s="123"/>
      <c r="D19" s="123"/>
      <c r="E19" s="123"/>
      <c r="F19" s="124"/>
      <c r="G19" s="98">
        <v>100</v>
      </c>
      <c r="H19" s="99"/>
      <c r="I19" s="98">
        <v>600</v>
      </c>
      <c r="J19" s="99"/>
      <c r="K19" s="105"/>
      <c r="L19" s="106"/>
      <c r="M19" s="98"/>
      <c r="N19" s="99"/>
      <c r="O19" s="17"/>
      <c r="P19" s="18"/>
      <c r="Q19" s="14">
        <f t="shared" si="0"/>
        <v>201.44857142857146</v>
      </c>
      <c r="R19" s="14">
        <v>1410.14</v>
      </c>
      <c r="S19" s="14"/>
    </row>
    <row r="20" spans="1:19" x14ac:dyDescent="0.3">
      <c r="A20" s="1"/>
      <c r="B20" s="122" t="s">
        <v>43</v>
      </c>
      <c r="C20" s="123"/>
      <c r="D20" s="123"/>
      <c r="E20" s="123"/>
      <c r="F20" s="124"/>
      <c r="G20" s="98">
        <v>670</v>
      </c>
      <c r="H20" s="99"/>
      <c r="I20" s="98">
        <v>4020</v>
      </c>
      <c r="J20" s="99"/>
      <c r="K20" s="105"/>
      <c r="L20" s="106"/>
      <c r="M20" s="98">
        <f>O20/6</f>
        <v>8754.6666666666661</v>
      </c>
      <c r="N20" s="99"/>
      <c r="O20" s="17">
        <v>52528</v>
      </c>
      <c r="P20" s="18"/>
      <c r="Q20" s="14">
        <f t="shared" si="0"/>
        <v>85.714285714285708</v>
      </c>
      <c r="R20" s="14">
        <v>600</v>
      </c>
      <c r="S20" s="14"/>
    </row>
    <row r="21" spans="1:19" x14ac:dyDescent="0.3">
      <c r="A21" s="1"/>
      <c r="B21" s="122" t="s">
        <v>47</v>
      </c>
      <c r="C21" s="123"/>
      <c r="D21" s="123"/>
      <c r="E21" s="123"/>
      <c r="F21" s="124"/>
      <c r="G21" s="17"/>
      <c r="H21" s="15"/>
      <c r="I21" s="17"/>
      <c r="J21" s="15"/>
      <c r="K21" s="18"/>
      <c r="L21" s="16"/>
      <c r="M21" s="17">
        <f>O21/6</f>
        <v>6565</v>
      </c>
      <c r="N21" s="15"/>
      <c r="O21" s="17">
        <v>39390</v>
      </c>
      <c r="P21" s="18"/>
      <c r="Q21" s="14">
        <f t="shared" si="0"/>
        <v>514.28571428571433</v>
      </c>
      <c r="R21" s="14">
        <v>3600</v>
      </c>
      <c r="S21" s="14"/>
    </row>
    <row r="22" spans="1:19" ht="14.4" customHeight="1" x14ac:dyDescent="0.3">
      <c r="A22" s="1"/>
      <c r="B22" s="122" t="s">
        <v>44</v>
      </c>
      <c r="C22" s="123"/>
      <c r="D22" s="123"/>
      <c r="E22" s="123"/>
      <c r="F22" s="124"/>
      <c r="G22" s="98">
        <v>10000</v>
      </c>
      <c r="H22" s="99"/>
      <c r="I22" s="98">
        <v>60000</v>
      </c>
      <c r="J22" s="99"/>
      <c r="K22" s="105"/>
      <c r="L22" s="106"/>
      <c r="M22" s="98">
        <f>O22/6</f>
        <v>3843.8333333333335</v>
      </c>
      <c r="N22" s="99"/>
      <c r="O22" s="17">
        <v>23063</v>
      </c>
      <c r="P22" s="18"/>
      <c r="Q22" s="14">
        <v>7888.5</v>
      </c>
      <c r="R22" s="14">
        <f>Q22*7</f>
        <v>55219.5</v>
      </c>
      <c r="S22" s="14"/>
    </row>
    <row r="23" spans="1:19" x14ac:dyDescent="0.3">
      <c r="A23" s="1"/>
      <c r="B23" s="122" t="s">
        <v>50</v>
      </c>
      <c r="C23" s="123"/>
      <c r="D23" s="123"/>
      <c r="E23" s="123"/>
      <c r="F23" s="124"/>
      <c r="G23" s="98"/>
      <c r="H23" s="99"/>
      <c r="I23" s="98"/>
      <c r="J23" s="99"/>
      <c r="K23" s="105"/>
      <c r="L23" s="106"/>
      <c r="M23" s="98"/>
      <c r="N23" s="99"/>
      <c r="O23" s="17"/>
      <c r="P23" s="18"/>
      <c r="Q23" s="14">
        <f>R23/7</f>
        <v>462.70142857142855</v>
      </c>
      <c r="R23" s="14">
        <v>3238.91</v>
      </c>
      <c r="S23" s="14"/>
    </row>
    <row r="24" spans="1:19" x14ac:dyDescent="0.3">
      <c r="A24" s="1"/>
      <c r="B24" s="141" t="s">
        <v>20</v>
      </c>
      <c r="C24" s="142"/>
      <c r="D24" s="142"/>
      <c r="E24" s="142"/>
      <c r="F24" s="143"/>
      <c r="G24" s="112">
        <f>SUM(G14:H22)</f>
        <v>105322.84</v>
      </c>
      <c r="H24" s="113"/>
      <c r="I24" s="112">
        <f>SUM(I14:J22)</f>
        <v>631937.04</v>
      </c>
      <c r="J24" s="113"/>
      <c r="K24" s="155">
        <v>16.72</v>
      </c>
      <c r="L24" s="156"/>
      <c r="M24" s="131">
        <f>M14+M15+M16+M17+M18+M19+M20+M22+M23+M21</f>
        <v>123498.85666666666</v>
      </c>
      <c r="N24" s="113"/>
      <c r="O24" s="13">
        <f>O14+O15+O16+O17+O18+O19+O20+O22+O23+O21</f>
        <v>740993.14</v>
      </c>
      <c r="P24" s="44">
        <f>M24/G71</f>
        <v>19.607661612553251</v>
      </c>
      <c r="Q24" s="12">
        <f>Q23+Q21+Q20+Q19+Q18+Q17+Q16+Q15+Q14+Q22</f>
        <v>121617.60714285714</v>
      </c>
      <c r="R24" s="12">
        <f>R23+R21+R20+R19+R18+R17+R16+R15+R14+R22</f>
        <v>851323.25</v>
      </c>
      <c r="S24" s="12">
        <f>Q24/G70</f>
        <v>19.961528270829717</v>
      </c>
    </row>
    <row r="25" spans="1:19" x14ac:dyDescent="0.3">
      <c r="A25" s="7" t="s">
        <v>10</v>
      </c>
      <c r="B25" s="122" t="s">
        <v>21</v>
      </c>
      <c r="C25" s="123"/>
      <c r="D25" s="123"/>
      <c r="E25" s="123"/>
      <c r="F25" s="124"/>
      <c r="G25" s="105"/>
      <c r="H25" s="106"/>
      <c r="I25" s="105"/>
      <c r="J25" s="106"/>
      <c r="K25" s="105"/>
      <c r="L25" s="106"/>
      <c r="M25" s="105"/>
      <c r="N25" s="106"/>
      <c r="O25" s="18"/>
      <c r="P25" s="18"/>
      <c r="Q25" s="14"/>
      <c r="R25" s="14"/>
      <c r="S25" s="14"/>
    </row>
    <row r="26" spans="1:19" x14ac:dyDescent="0.3">
      <c r="A26" s="146"/>
      <c r="B26" s="125" t="s">
        <v>22</v>
      </c>
      <c r="C26" s="126"/>
      <c r="D26" s="126"/>
      <c r="E26" s="126"/>
      <c r="F26" s="127"/>
      <c r="G26" s="91">
        <v>49850</v>
      </c>
      <c r="H26" s="92"/>
      <c r="I26" s="91">
        <v>299100</v>
      </c>
      <c r="J26" s="92"/>
      <c r="K26" s="100"/>
      <c r="L26" s="101"/>
      <c r="M26" s="91">
        <f>O26/6</f>
        <v>59799.91333333333</v>
      </c>
      <c r="N26" s="92"/>
      <c r="O26" s="91">
        <v>358799.48</v>
      </c>
      <c r="P26" s="100"/>
      <c r="Q26" s="154">
        <f>R26/7</f>
        <v>123854.70571428571</v>
      </c>
      <c r="R26" s="154">
        <v>866982.94</v>
      </c>
      <c r="S26" s="157"/>
    </row>
    <row r="27" spans="1:19" x14ac:dyDescent="0.3">
      <c r="A27" s="147"/>
      <c r="B27" s="128"/>
      <c r="C27" s="129"/>
      <c r="D27" s="129"/>
      <c r="E27" s="129"/>
      <c r="F27" s="130"/>
      <c r="G27" s="93"/>
      <c r="H27" s="94"/>
      <c r="I27" s="93"/>
      <c r="J27" s="94"/>
      <c r="K27" s="120"/>
      <c r="L27" s="121"/>
      <c r="M27" s="93"/>
      <c r="N27" s="94"/>
      <c r="O27" s="93"/>
      <c r="P27" s="120"/>
      <c r="Q27" s="154"/>
      <c r="R27" s="154"/>
      <c r="S27" s="158"/>
    </row>
    <row r="28" spans="1:19" ht="13.2" customHeight="1" x14ac:dyDescent="0.3">
      <c r="A28" s="146"/>
      <c r="B28" s="125" t="s">
        <v>75</v>
      </c>
      <c r="C28" s="126"/>
      <c r="D28" s="126"/>
      <c r="E28" s="126"/>
      <c r="F28" s="127"/>
      <c r="G28" s="91"/>
      <c r="H28" s="92"/>
      <c r="I28" s="91"/>
      <c r="J28" s="92"/>
      <c r="K28" s="100"/>
      <c r="L28" s="101"/>
      <c r="M28" s="91"/>
      <c r="N28" s="92"/>
      <c r="O28" s="91"/>
      <c r="P28" s="100"/>
      <c r="Q28" s="154"/>
      <c r="R28" s="154"/>
      <c r="S28" s="157"/>
    </row>
    <row r="29" spans="1:19" ht="1.8" customHeight="1" x14ac:dyDescent="0.3">
      <c r="A29" s="147"/>
      <c r="B29" s="128"/>
      <c r="C29" s="129"/>
      <c r="D29" s="129"/>
      <c r="E29" s="129"/>
      <c r="F29" s="130"/>
      <c r="G29" s="93"/>
      <c r="H29" s="94"/>
      <c r="I29" s="93"/>
      <c r="J29" s="94"/>
      <c r="K29" s="120"/>
      <c r="L29" s="121"/>
      <c r="M29" s="93"/>
      <c r="N29" s="94"/>
      <c r="O29" s="93"/>
      <c r="P29" s="120"/>
      <c r="Q29" s="154"/>
      <c r="R29" s="154"/>
      <c r="S29" s="158"/>
    </row>
    <row r="30" spans="1:19" x14ac:dyDescent="0.3">
      <c r="A30" s="1"/>
      <c r="B30" s="107" t="s">
        <v>42</v>
      </c>
      <c r="C30" s="108"/>
      <c r="D30" s="108"/>
      <c r="E30" s="108"/>
      <c r="F30" s="109"/>
      <c r="G30" s="110">
        <v>6666</v>
      </c>
      <c r="H30" s="111"/>
      <c r="I30" s="110">
        <f>G30*6</f>
        <v>39996</v>
      </c>
      <c r="J30" s="111"/>
      <c r="K30" s="137"/>
      <c r="L30" s="138"/>
      <c r="M30" s="132"/>
      <c r="N30" s="133"/>
      <c r="O30" s="29"/>
      <c r="P30" s="18"/>
      <c r="Q30" s="14"/>
      <c r="R30" s="14"/>
      <c r="S30" s="14"/>
    </row>
    <row r="31" spans="1:19" x14ac:dyDescent="0.3">
      <c r="A31" s="1"/>
      <c r="B31" s="107" t="s">
        <v>23</v>
      </c>
      <c r="C31" s="108"/>
      <c r="D31" s="108"/>
      <c r="E31" s="108"/>
      <c r="F31" s="109"/>
      <c r="G31" s="110">
        <v>400</v>
      </c>
      <c r="H31" s="111"/>
      <c r="I31" s="110">
        <v>2400</v>
      </c>
      <c r="J31" s="111"/>
      <c r="K31" s="137"/>
      <c r="L31" s="138"/>
      <c r="M31" s="132"/>
      <c r="N31" s="133"/>
      <c r="O31" s="29"/>
      <c r="P31" s="18"/>
      <c r="Q31" s="14"/>
      <c r="R31" s="14"/>
      <c r="S31" s="14"/>
    </row>
    <row r="32" spans="1:19" x14ac:dyDescent="0.3">
      <c r="A32" s="1"/>
      <c r="B32" s="102" t="s">
        <v>24</v>
      </c>
      <c r="C32" s="103"/>
      <c r="D32" s="103"/>
      <c r="E32" s="103"/>
      <c r="F32" s="104"/>
      <c r="G32" s="98">
        <v>6815</v>
      </c>
      <c r="H32" s="99"/>
      <c r="I32" s="98">
        <v>40890</v>
      </c>
      <c r="J32" s="99"/>
      <c r="K32" s="105"/>
      <c r="L32" s="106"/>
      <c r="M32" s="98">
        <v>8850</v>
      </c>
      <c r="N32" s="99"/>
      <c r="O32" s="17">
        <v>53100</v>
      </c>
      <c r="P32" s="18"/>
      <c r="Q32" s="14">
        <v>8850</v>
      </c>
      <c r="R32" s="14">
        <f>Q32*7</f>
        <v>61950</v>
      </c>
      <c r="S32" s="14"/>
    </row>
    <row r="33" spans="1:19" x14ac:dyDescent="0.3">
      <c r="A33" s="1"/>
      <c r="B33" s="102" t="s">
        <v>25</v>
      </c>
      <c r="C33" s="103"/>
      <c r="D33" s="103"/>
      <c r="E33" s="103"/>
      <c r="F33" s="104"/>
      <c r="G33" s="98">
        <v>2000</v>
      </c>
      <c r="H33" s="99"/>
      <c r="I33" s="98">
        <v>12000</v>
      </c>
      <c r="J33" s="99"/>
      <c r="K33" s="105"/>
      <c r="L33" s="106"/>
      <c r="M33" s="98"/>
      <c r="N33" s="99"/>
      <c r="O33" s="17"/>
      <c r="P33" s="18"/>
      <c r="Q33" s="14"/>
      <c r="R33" s="14"/>
      <c r="S33" s="14"/>
    </row>
    <row r="34" spans="1:19" ht="14.4" customHeight="1" x14ac:dyDescent="0.3">
      <c r="A34" s="146"/>
      <c r="B34" s="125" t="s">
        <v>26</v>
      </c>
      <c r="C34" s="126"/>
      <c r="D34" s="126"/>
      <c r="E34" s="126"/>
      <c r="F34" s="127"/>
      <c r="G34" s="91">
        <v>500</v>
      </c>
      <c r="H34" s="92"/>
      <c r="I34" s="91">
        <v>3000</v>
      </c>
      <c r="J34" s="92"/>
      <c r="K34" s="100"/>
      <c r="L34" s="101"/>
      <c r="M34" s="91"/>
      <c r="N34" s="15"/>
      <c r="O34" s="91"/>
      <c r="P34" s="100"/>
      <c r="Q34" s="154">
        <f>R34/7</f>
        <v>461.5</v>
      </c>
      <c r="R34" s="154">
        <v>3230.5</v>
      </c>
      <c r="S34" s="157"/>
    </row>
    <row r="35" spans="1:19" x14ac:dyDescent="0.3">
      <c r="A35" s="147"/>
      <c r="B35" s="128"/>
      <c r="C35" s="129"/>
      <c r="D35" s="129"/>
      <c r="E35" s="129"/>
      <c r="F35" s="130"/>
      <c r="G35" s="93"/>
      <c r="H35" s="94"/>
      <c r="I35" s="93"/>
      <c r="J35" s="94"/>
      <c r="K35" s="120"/>
      <c r="L35" s="121"/>
      <c r="M35" s="93"/>
      <c r="N35" s="15"/>
      <c r="O35" s="93"/>
      <c r="P35" s="120"/>
      <c r="Q35" s="154"/>
      <c r="R35" s="154"/>
      <c r="S35" s="158"/>
    </row>
    <row r="36" spans="1:19" x14ac:dyDescent="0.3">
      <c r="A36" s="5"/>
      <c r="B36" s="114" t="s">
        <v>38</v>
      </c>
      <c r="C36" s="115"/>
      <c r="D36" s="115"/>
      <c r="E36" s="115"/>
      <c r="F36" s="116"/>
      <c r="G36" s="91">
        <v>6900</v>
      </c>
      <c r="H36" s="20"/>
      <c r="I36" s="91">
        <v>41400</v>
      </c>
      <c r="J36" s="20"/>
      <c r="K36" s="100"/>
      <c r="L36" s="21"/>
      <c r="M36" s="91"/>
      <c r="N36" s="15"/>
      <c r="O36" s="91"/>
      <c r="P36" s="100"/>
      <c r="Q36" s="154"/>
      <c r="R36" s="154"/>
      <c r="S36" s="157"/>
    </row>
    <row r="37" spans="1:19" x14ac:dyDescent="0.3">
      <c r="A37" s="5"/>
      <c r="B37" s="117"/>
      <c r="C37" s="118"/>
      <c r="D37" s="118"/>
      <c r="E37" s="118"/>
      <c r="F37" s="119"/>
      <c r="G37" s="93"/>
      <c r="H37" s="20"/>
      <c r="I37" s="93"/>
      <c r="J37" s="20"/>
      <c r="K37" s="120"/>
      <c r="L37" s="21"/>
      <c r="M37" s="93"/>
      <c r="N37" s="15"/>
      <c r="O37" s="93"/>
      <c r="P37" s="120"/>
      <c r="Q37" s="154"/>
      <c r="R37" s="154"/>
      <c r="S37" s="158"/>
    </row>
    <row r="38" spans="1:19" ht="14.4" customHeight="1" x14ac:dyDescent="0.3">
      <c r="A38" s="5"/>
      <c r="B38" s="102" t="s">
        <v>27</v>
      </c>
      <c r="C38" s="103"/>
      <c r="D38" s="103"/>
      <c r="E38" s="103"/>
      <c r="F38" s="104"/>
      <c r="G38" s="17">
        <v>7000</v>
      </c>
      <c r="H38" s="15"/>
      <c r="I38" s="98">
        <v>42000</v>
      </c>
      <c r="J38" s="99"/>
      <c r="K38" s="105"/>
      <c r="L38" s="106"/>
      <c r="M38" s="98">
        <f>O38/6</f>
        <v>8800</v>
      </c>
      <c r="N38" s="99"/>
      <c r="O38" s="17">
        <v>52800</v>
      </c>
      <c r="P38" s="18"/>
      <c r="Q38" s="14">
        <v>13200</v>
      </c>
      <c r="R38" s="14">
        <f>Q38*7</f>
        <v>92400</v>
      </c>
      <c r="S38" s="14"/>
    </row>
    <row r="39" spans="1:19" x14ac:dyDescent="0.3">
      <c r="A39" s="1"/>
      <c r="B39" s="122" t="s">
        <v>51</v>
      </c>
      <c r="C39" s="123"/>
      <c r="D39" s="123"/>
      <c r="E39" s="123"/>
      <c r="F39" s="124"/>
      <c r="G39" s="98"/>
      <c r="H39" s="99"/>
      <c r="I39" s="98"/>
      <c r="J39" s="99"/>
      <c r="K39" s="105"/>
      <c r="L39" s="106"/>
      <c r="M39" s="98"/>
      <c r="N39" s="99"/>
      <c r="O39" s="17"/>
      <c r="P39" s="18"/>
      <c r="Q39" s="14">
        <f>R39/7</f>
        <v>842.85714285714289</v>
      </c>
      <c r="R39" s="14">
        <v>5900</v>
      </c>
      <c r="S39" s="14"/>
    </row>
    <row r="40" spans="1:19" x14ac:dyDescent="0.3">
      <c r="A40" s="11"/>
      <c r="B40" s="102" t="s">
        <v>28</v>
      </c>
      <c r="C40" s="103"/>
      <c r="D40" s="103"/>
      <c r="E40" s="103"/>
      <c r="F40" s="104"/>
      <c r="G40" s="98">
        <v>15000</v>
      </c>
      <c r="H40" s="99"/>
      <c r="I40" s="98">
        <v>90000</v>
      </c>
      <c r="J40" s="99"/>
      <c r="K40" s="105"/>
      <c r="L40" s="106"/>
      <c r="M40" s="98">
        <v>15000</v>
      </c>
      <c r="N40" s="99"/>
      <c r="O40" s="17">
        <v>90000</v>
      </c>
      <c r="P40" s="18"/>
      <c r="Q40" s="14">
        <f>R40/7</f>
        <v>10714.285714285714</v>
      </c>
      <c r="R40" s="14">
        <v>75000</v>
      </c>
      <c r="S40" s="14"/>
    </row>
    <row r="41" spans="1:19" x14ac:dyDescent="0.3">
      <c r="A41" s="146"/>
      <c r="B41" s="148" t="s">
        <v>29</v>
      </c>
      <c r="C41" s="149"/>
      <c r="D41" s="149"/>
      <c r="E41" s="149"/>
      <c r="F41" s="150"/>
      <c r="G41" s="91">
        <v>7000</v>
      </c>
      <c r="H41" s="92"/>
      <c r="I41" s="91">
        <v>42000</v>
      </c>
      <c r="J41" s="92"/>
      <c r="K41" s="100"/>
      <c r="L41" s="101"/>
      <c r="M41" s="91"/>
      <c r="N41" s="92"/>
      <c r="O41" s="91"/>
      <c r="P41" s="100"/>
      <c r="Q41" s="157"/>
      <c r="R41" s="157"/>
      <c r="S41" s="157"/>
    </row>
    <row r="42" spans="1:19" x14ac:dyDescent="0.3">
      <c r="A42" s="147"/>
      <c r="B42" s="151"/>
      <c r="C42" s="152"/>
      <c r="D42" s="152"/>
      <c r="E42" s="152"/>
      <c r="F42" s="153"/>
      <c r="G42" s="93"/>
      <c r="H42" s="94"/>
      <c r="I42" s="93"/>
      <c r="J42" s="94"/>
      <c r="K42" s="120"/>
      <c r="L42" s="121"/>
      <c r="M42" s="93"/>
      <c r="N42" s="94"/>
      <c r="O42" s="93"/>
      <c r="P42" s="120"/>
      <c r="Q42" s="158"/>
      <c r="R42" s="158"/>
      <c r="S42" s="158"/>
    </row>
    <row r="43" spans="1:19" x14ac:dyDescent="0.3">
      <c r="A43" s="1"/>
      <c r="B43" s="141" t="s">
        <v>39</v>
      </c>
      <c r="C43" s="142"/>
      <c r="D43" s="142"/>
      <c r="E43" s="142"/>
      <c r="F43" s="143"/>
      <c r="G43" s="98">
        <v>2000</v>
      </c>
      <c r="H43" s="99"/>
      <c r="I43" s="98">
        <v>12000</v>
      </c>
      <c r="J43" s="99"/>
      <c r="K43" s="105"/>
      <c r="L43" s="106"/>
      <c r="M43" s="98"/>
      <c r="N43" s="99"/>
      <c r="O43" s="17"/>
      <c r="P43" s="18"/>
      <c r="Q43" s="14"/>
      <c r="R43" s="14"/>
      <c r="S43" s="14"/>
    </row>
    <row r="44" spans="1:19" x14ac:dyDescent="0.3">
      <c r="A44" s="1"/>
      <c r="B44" s="141" t="s">
        <v>30</v>
      </c>
      <c r="C44" s="142"/>
      <c r="D44" s="142"/>
      <c r="E44" s="142"/>
      <c r="F44" s="143"/>
      <c r="G44" s="112">
        <v>100815</v>
      </c>
      <c r="H44" s="113"/>
      <c r="I44" s="112">
        <f>I26+I30+I31+I32+I33+I34+I36+I38+I40+I41+I43</f>
        <v>624786</v>
      </c>
      <c r="J44" s="113"/>
      <c r="K44" s="112">
        <v>16</v>
      </c>
      <c r="L44" s="113"/>
      <c r="M44" s="112">
        <f>M26+M30+M31+M32+M33+M34+M38+M40+M41+M43</f>
        <v>92449.91333333333</v>
      </c>
      <c r="N44" s="113"/>
      <c r="O44" s="13">
        <f>O26+O30+O31+O32+O33+O34+O38+O40+O41+O43</f>
        <v>554699.48</v>
      </c>
      <c r="P44" s="13">
        <f>M44/G71</f>
        <v>14.678084199941784</v>
      </c>
      <c r="Q44" s="12">
        <f>Q40+Q38+Q34+Q32+Q26+Q39</f>
        <v>157923.34857142853</v>
      </c>
      <c r="R44" s="12">
        <f>R40+R38+R34+R32+R26+R39</f>
        <v>1105463.44</v>
      </c>
      <c r="S44" s="12">
        <f>Q44/G70</f>
        <v>25.920518099239821</v>
      </c>
    </row>
    <row r="45" spans="1:19" x14ac:dyDescent="0.3">
      <c r="A45" s="1" t="s">
        <v>11</v>
      </c>
      <c r="B45" s="141" t="s">
        <v>31</v>
      </c>
      <c r="C45" s="142"/>
      <c r="D45" s="142"/>
      <c r="E45" s="142"/>
      <c r="F45" s="143"/>
      <c r="G45" s="105"/>
      <c r="H45" s="106"/>
      <c r="I45" s="105"/>
      <c r="J45" s="106"/>
      <c r="K45" s="105"/>
      <c r="L45" s="106"/>
      <c r="M45" s="105"/>
      <c r="N45" s="106"/>
      <c r="O45" s="18"/>
      <c r="P45" s="18"/>
      <c r="Q45" s="14"/>
      <c r="R45" s="14"/>
      <c r="S45" s="14"/>
    </row>
    <row r="46" spans="1:19" x14ac:dyDescent="0.3">
      <c r="A46" s="1"/>
      <c r="B46" s="122" t="s">
        <v>32</v>
      </c>
      <c r="C46" s="123"/>
      <c r="D46" s="123"/>
      <c r="E46" s="123"/>
      <c r="F46" s="124"/>
      <c r="G46" s="98">
        <v>1800</v>
      </c>
      <c r="H46" s="99"/>
      <c r="I46" s="98">
        <v>10800</v>
      </c>
      <c r="J46" s="99"/>
      <c r="K46" s="105"/>
      <c r="L46" s="106"/>
      <c r="M46" s="98"/>
      <c r="N46" s="99"/>
      <c r="O46" s="17"/>
      <c r="P46" s="18"/>
      <c r="Q46" s="14">
        <f>R46/7</f>
        <v>2099.4</v>
      </c>
      <c r="R46" s="14">
        <v>14695.8</v>
      </c>
      <c r="S46" s="14"/>
    </row>
    <row r="47" spans="1:19" x14ac:dyDescent="0.3">
      <c r="A47" s="146"/>
      <c r="B47" s="148" t="s">
        <v>33</v>
      </c>
      <c r="C47" s="149"/>
      <c r="D47" s="149"/>
      <c r="E47" s="149"/>
      <c r="F47" s="150"/>
      <c r="G47" s="91">
        <v>200</v>
      </c>
      <c r="H47" s="92"/>
      <c r="I47" s="91">
        <v>1200</v>
      </c>
      <c r="J47" s="92"/>
      <c r="K47" s="100"/>
      <c r="L47" s="101"/>
      <c r="M47" s="91"/>
      <c r="N47" s="92"/>
      <c r="O47" s="91"/>
      <c r="P47" s="100"/>
      <c r="Q47" s="154"/>
      <c r="R47" s="154"/>
      <c r="S47" s="157"/>
    </row>
    <row r="48" spans="1:19" x14ac:dyDescent="0.3">
      <c r="A48" s="147"/>
      <c r="B48" s="151"/>
      <c r="C48" s="152"/>
      <c r="D48" s="152"/>
      <c r="E48" s="152"/>
      <c r="F48" s="153"/>
      <c r="G48" s="93"/>
      <c r="H48" s="94"/>
      <c r="I48" s="93"/>
      <c r="J48" s="94"/>
      <c r="K48" s="120"/>
      <c r="L48" s="121"/>
      <c r="M48" s="93"/>
      <c r="N48" s="94"/>
      <c r="O48" s="93"/>
      <c r="P48" s="120"/>
      <c r="Q48" s="154"/>
      <c r="R48" s="154"/>
      <c r="S48" s="158"/>
    </row>
    <row r="49" spans="1:19" x14ac:dyDescent="0.3">
      <c r="A49" s="1"/>
      <c r="B49" s="122" t="s">
        <v>49</v>
      </c>
      <c r="C49" s="123"/>
      <c r="D49" s="123"/>
      <c r="E49" s="123"/>
      <c r="F49" s="124"/>
      <c r="G49" s="98">
        <v>4000</v>
      </c>
      <c r="H49" s="99"/>
      <c r="I49" s="98">
        <v>24000</v>
      </c>
      <c r="J49" s="99"/>
      <c r="K49" s="105"/>
      <c r="L49" s="106"/>
      <c r="M49" s="98">
        <f>O49/6</f>
        <v>12697</v>
      </c>
      <c r="N49" s="99"/>
      <c r="O49" s="17">
        <v>76182</v>
      </c>
      <c r="P49" s="18"/>
      <c r="Q49" s="14">
        <f>R49/7</f>
        <v>13055.157142857144</v>
      </c>
      <c r="R49" s="14">
        <v>91386.1</v>
      </c>
      <c r="S49" s="14"/>
    </row>
    <row r="50" spans="1:19" x14ac:dyDescent="0.3">
      <c r="A50" s="1"/>
      <c r="B50" s="122" t="s">
        <v>45</v>
      </c>
      <c r="C50" s="123"/>
      <c r="D50" s="123"/>
      <c r="E50" s="123"/>
      <c r="F50" s="124"/>
      <c r="G50" s="98">
        <v>9000</v>
      </c>
      <c r="H50" s="99"/>
      <c r="I50" s="98">
        <v>54000</v>
      </c>
      <c r="J50" s="99"/>
      <c r="K50" s="105"/>
      <c r="L50" s="106"/>
      <c r="M50" s="98">
        <f>O50/6</f>
        <v>9000</v>
      </c>
      <c r="N50" s="99"/>
      <c r="O50" s="17">
        <v>54000</v>
      </c>
      <c r="P50" s="18"/>
      <c r="Q50" s="14"/>
      <c r="R50" s="14"/>
      <c r="S50" s="14"/>
    </row>
    <row r="51" spans="1:19" x14ac:dyDescent="0.3">
      <c r="A51" s="2"/>
      <c r="B51" s="122" t="s">
        <v>34</v>
      </c>
      <c r="C51" s="123"/>
      <c r="D51" s="123"/>
      <c r="E51" s="123"/>
      <c r="F51" s="124"/>
      <c r="G51" s="98"/>
      <c r="H51" s="99"/>
      <c r="I51" s="98"/>
      <c r="J51" s="99"/>
      <c r="K51" s="105"/>
      <c r="L51" s="106"/>
      <c r="M51" s="98"/>
      <c r="N51" s="99"/>
      <c r="O51" s="17"/>
      <c r="P51" s="18"/>
      <c r="Q51" s="14"/>
      <c r="R51" s="14"/>
      <c r="S51" s="14"/>
    </row>
    <row r="52" spans="1:19" x14ac:dyDescent="0.3">
      <c r="A52" s="2"/>
      <c r="B52" s="95" t="s">
        <v>48</v>
      </c>
      <c r="C52" s="96"/>
      <c r="D52" s="96"/>
      <c r="E52" s="96"/>
      <c r="F52" s="97"/>
      <c r="G52" s="98"/>
      <c r="H52" s="99"/>
      <c r="I52" s="98"/>
      <c r="J52" s="99"/>
      <c r="K52" s="100"/>
      <c r="L52" s="101"/>
      <c r="M52" s="98"/>
      <c r="N52" s="99"/>
      <c r="O52" s="17"/>
      <c r="P52" s="18"/>
      <c r="Q52" s="19">
        <f>R52/7</f>
        <v>1357.1428571428571</v>
      </c>
      <c r="R52" s="19">
        <v>9500</v>
      </c>
      <c r="S52" s="19"/>
    </row>
    <row r="53" spans="1:19" x14ac:dyDescent="0.3">
      <c r="A53" s="1"/>
      <c r="B53" s="95" t="s">
        <v>67</v>
      </c>
      <c r="C53" s="96"/>
      <c r="D53" s="96"/>
      <c r="E53" s="96"/>
      <c r="F53" s="97"/>
      <c r="G53" s="98"/>
      <c r="H53" s="99"/>
      <c r="I53" s="98"/>
      <c r="J53" s="99"/>
      <c r="K53" s="100"/>
      <c r="L53" s="101"/>
      <c r="M53" s="98"/>
      <c r="N53" s="99"/>
      <c r="O53" s="17"/>
      <c r="P53" s="18"/>
      <c r="Q53" s="14"/>
      <c r="R53" s="14"/>
      <c r="S53" s="14"/>
    </row>
    <row r="54" spans="1:19" x14ac:dyDescent="0.3">
      <c r="A54" s="1"/>
      <c r="B54" s="95" t="s">
        <v>40</v>
      </c>
      <c r="C54" s="96"/>
      <c r="D54" s="96"/>
      <c r="E54" s="96"/>
      <c r="F54" s="97"/>
      <c r="G54" s="98"/>
      <c r="H54" s="99"/>
      <c r="I54" s="98"/>
      <c r="J54" s="99"/>
      <c r="K54" s="100"/>
      <c r="L54" s="101"/>
      <c r="M54" s="98"/>
      <c r="N54" s="99"/>
      <c r="O54" s="17"/>
      <c r="P54" s="18"/>
      <c r="Q54" s="19"/>
      <c r="R54" s="19"/>
      <c r="S54" s="19"/>
    </row>
    <row r="55" spans="1:19" x14ac:dyDescent="0.3">
      <c r="A55" s="1"/>
      <c r="B55" s="144" t="s">
        <v>35</v>
      </c>
      <c r="C55" s="144"/>
      <c r="D55" s="144"/>
      <c r="E55" s="144"/>
      <c r="F55" s="144"/>
      <c r="G55" s="112">
        <f>G46+G47+G49+G50+G51</f>
        <v>15000</v>
      </c>
      <c r="H55" s="113"/>
      <c r="I55" s="112">
        <f>I46+I47+I49+I50+I51</f>
        <v>90000</v>
      </c>
      <c r="J55" s="113"/>
      <c r="K55" s="145">
        <v>2.25</v>
      </c>
      <c r="L55" s="145"/>
      <c r="M55" s="112">
        <f>M46+M47+M49+M50+M51</f>
        <v>21697</v>
      </c>
      <c r="N55" s="113"/>
      <c r="O55" s="13">
        <f>O46+O47+O49+O50+O51</f>
        <v>130182</v>
      </c>
      <c r="P55" s="44">
        <f>M55/G71</f>
        <v>3.4447884416924666</v>
      </c>
      <c r="Q55" s="12">
        <f>Q46+Q49+Q52</f>
        <v>16511.7</v>
      </c>
      <c r="R55" s="12">
        <f>R46+R49+R53+R52</f>
        <v>115581.90000000001</v>
      </c>
      <c r="S55" s="12">
        <f>Q55/G70</f>
        <v>2.7101237566884415</v>
      </c>
    </row>
    <row r="56" spans="1:19" ht="32.4" customHeight="1" x14ac:dyDescent="0.3">
      <c r="A56" s="1"/>
      <c r="B56" s="141"/>
      <c r="C56" s="142"/>
      <c r="D56" s="142"/>
      <c r="E56" s="142"/>
      <c r="F56" s="143"/>
      <c r="G56" s="134"/>
      <c r="H56" s="106"/>
      <c r="I56" s="105"/>
      <c r="J56" s="106"/>
      <c r="K56" s="105"/>
      <c r="L56" s="106"/>
      <c r="M56" s="134"/>
      <c r="N56" s="106"/>
      <c r="O56" s="22"/>
      <c r="P56" s="18"/>
      <c r="Q56" s="14"/>
      <c r="R56" s="14"/>
      <c r="S56" s="14"/>
    </row>
    <row r="57" spans="1:19" ht="76.2" customHeight="1" x14ac:dyDescent="0.3">
      <c r="A57" s="1"/>
      <c r="B57" s="102" t="s">
        <v>52</v>
      </c>
      <c r="C57" s="103"/>
      <c r="D57" s="103"/>
      <c r="E57" s="103"/>
      <c r="F57" s="104"/>
      <c r="G57" s="25"/>
      <c r="H57" s="24"/>
      <c r="I57" s="26"/>
      <c r="J57" s="24"/>
      <c r="K57" s="25">
        <v>35</v>
      </c>
      <c r="L57" s="24"/>
      <c r="M57" s="25">
        <f>M55+M44+M24</f>
        <v>237645.77</v>
      </c>
      <c r="N57" s="24"/>
      <c r="O57" s="25">
        <f>O55+O44+O24</f>
        <v>1425874.62</v>
      </c>
      <c r="P57" s="25">
        <f>P55+P44+P24</f>
        <v>37.730534254187504</v>
      </c>
      <c r="Q57" s="27">
        <f>Q55+Q43+Q44+Q24</f>
        <v>296052.65571428568</v>
      </c>
      <c r="R57" s="27">
        <f>Q57*7</f>
        <v>2072368.5899999999</v>
      </c>
      <c r="S57" s="27">
        <v>47</v>
      </c>
    </row>
    <row r="58" spans="1:19" ht="51.6" customHeight="1" x14ac:dyDescent="0.3">
      <c r="A58" s="1"/>
      <c r="B58" s="102" t="s">
        <v>68</v>
      </c>
      <c r="C58" s="103"/>
      <c r="D58" s="103"/>
      <c r="E58" s="103"/>
      <c r="F58" s="104"/>
      <c r="G58" s="105"/>
      <c r="H58" s="106"/>
      <c r="I58" s="105"/>
      <c r="J58" s="106"/>
      <c r="K58" s="139">
        <f>K57</f>
        <v>35</v>
      </c>
      <c r="L58" s="140"/>
      <c r="M58" s="135"/>
      <c r="N58" s="136"/>
      <c r="O58" s="30"/>
      <c r="P58" s="28">
        <f>M57/G71</f>
        <v>37.730534254187504</v>
      </c>
      <c r="Q58" s="14"/>
      <c r="R58" s="14"/>
      <c r="S58" s="12">
        <v>47</v>
      </c>
    </row>
    <row r="59" spans="1:19" ht="39.6" customHeight="1" x14ac:dyDescent="0.3">
      <c r="A59" s="1"/>
      <c r="B59" s="102" t="s">
        <v>57</v>
      </c>
      <c r="C59" s="103"/>
      <c r="D59" s="103"/>
      <c r="E59" s="103"/>
      <c r="F59" s="104"/>
      <c r="G59" s="105"/>
      <c r="H59" s="106"/>
      <c r="I59" s="105"/>
      <c r="J59" s="106"/>
      <c r="K59" s="135"/>
      <c r="L59" s="136"/>
      <c r="M59" s="135"/>
      <c r="N59" s="136"/>
      <c r="O59" s="30"/>
      <c r="P59" s="32"/>
      <c r="Q59" s="33"/>
      <c r="R59" s="33"/>
      <c r="S59" s="33"/>
    </row>
    <row r="60" spans="1:19" ht="37.799999999999997" customHeight="1" x14ac:dyDescent="0.3">
      <c r="A60" s="1"/>
      <c r="B60" s="166" t="s">
        <v>90</v>
      </c>
      <c r="C60" s="167"/>
      <c r="D60" s="167"/>
      <c r="E60" s="167"/>
      <c r="F60" s="168"/>
      <c r="G60" s="105"/>
      <c r="H60" s="106"/>
      <c r="I60" s="105"/>
      <c r="J60" s="106"/>
      <c r="K60" s="135"/>
      <c r="L60" s="136"/>
      <c r="M60" s="135"/>
      <c r="N60" s="136"/>
      <c r="O60" s="30"/>
      <c r="P60" s="22"/>
      <c r="Q60" s="14"/>
      <c r="R60" s="23">
        <f>1813.6*35*3</f>
        <v>190428</v>
      </c>
      <c r="S60" s="14"/>
    </row>
    <row r="61" spans="1:19" ht="32.4" customHeight="1" x14ac:dyDescent="0.3">
      <c r="A61" s="1"/>
      <c r="B61" s="166" t="s">
        <v>94</v>
      </c>
      <c r="C61" s="167"/>
      <c r="D61" s="167"/>
      <c r="E61" s="167"/>
      <c r="F61" s="168"/>
      <c r="G61" s="105"/>
      <c r="H61" s="106"/>
      <c r="I61" s="105"/>
      <c r="J61" s="106"/>
      <c r="K61" s="135"/>
      <c r="L61" s="136"/>
      <c r="M61" s="135"/>
      <c r="N61" s="136"/>
      <c r="O61" s="30"/>
      <c r="P61" s="22"/>
      <c r="Q61" s="14"/>
      <c r="R61" s="23">
        <f>56500*2</f>
        <v>113000</v>
      </c>
      <c r="S61" s="14"/>
    </row>
    <row r="62" spans="1:19" ht="28.2" customHeight="1" x14ac:dyDescent="0.3">
      <c r="A62" s="1"/>
      <c r="B62" s="166" t="s">
        <v>69</v>
      </c>
      <c r="C62" s="167"/>
      <c r="D62" s="167"/>
      <c r="E62" s="167"/>
      <c r="F62" s="168"/>
      <c r="G62" s="25"/>
      <c r="H62" s="24"/>
      <c r="I62" s="26"/>
      <c r="J62" s="24"/>
      <c r="K62" s="25"/>
      <c r="L62" s="24"/>
      <c r="M62" s="25"/>
      <c r="N62" s="24"/>
      <c r="O62" s="25"/>
      <c r="P62" s="25">
        <f>P57</f>
        <v>37.730534254187504</v>
      </c>
      <c r="Q62" s="27"/>
      <c r="R62" s="27"/>
      <c r="S62" s="43">
        <f>(R57-(R60+R61))/7/G71</f>
        <v>40.121584277435666</v>
      </c>
    </row>
    <row r="63" spans="1:19" ht="18" customHeight="1" x14ac:dyDescent="0.3">
      <c r="A63" s="1"/>
      <c r="B63" s="102" t="s">
        <v>60</v>
      </c>
      <c r="C63" s="103"/>
      <c r="D63" s="103"/>
      <c r="E63" s="103"/>
      <c r="F63" s="104"/>
      <c r="G63" s="105"/>
      <c r="H63" s="106"/>
      <c r="I63" s="105"/>
      <c r="J63" s="106"/>
      <c r="K63" s="139"/>
      <c r="L63" s="140"/>
      <c r="M63" s="135"/>
      <c r="N63" s="136"/>
      <c r="O63" s="30"/>
      <c r="P63" s="28">
        <f>35-P62</f>
        <v>-2.7305342541875035</v>
      </c>
      <c r="Q63" s="14"/>
      <c r="R63" s="14"/>
      <c r="S63" s="12">
        <f>35-S62</f>
        <v>-5.1215842774356659</v>
      </c>
    </row>
    <row r="64" spans="1:19" x14ac:dyDescent="0.3">
      <c r="A64" s="1"/>
      <c r="B64" s="102" t="s">
        <v>61</v>
      </c>
      <c r="C64" s="103"/>
      <c r="D64" s="103"/>
      <c r="E64" s="103"/>
      <c r="F64" s="104"/>
      <c r="G64" s="105"/>
      <c r="H64" s="106"/>
      <c r="I64" s="105"/>
      <c r="J64" s="106"/>
      <c r="K64" s="135"/>
      <c r="L64" s="136"/>
      <c r="M64" s="135"/>
      <c r="N64" s="136"/>
      <c r="O64" s="30"/>
      <c r="P64" s="28">
        <f>P63*G71</f>
        <v>-17198.26999999999</v>
      </c>
      <c r="Q64" s="12"/>
      <c r="R64" s="12"/>
      <c r="S64" s="12">
        <f>S63*G71</f>
        <v>-32258.298571428542</v>
      </c>
    </row>
    <row r="65" spans="1:19" x14ac:dyDescent="0.3">
      <c r="A65" s="1"/>
      <c r="B65" s="166" t="s">
        <v>62</v>
      </c>
      <c r="C65" s="167"/>
      <c r="D65" s="167"/>
      <c r="E65" s="167"/>
      <c r="F65" s="168"/>
      <c r="G65" s="105"/>
      <c r="H65" s="106"/>
      <c r="I65" s="105"/>
      <c r="J65" s="106"/>
      <c r="K65" s="135"/>
      <c r="L65" s="136"/>
      <c r="M65" s="135"/>
      <c r="N65" s="136"/>
      <c r="O65" s="30"/>
      <c r="P65" s="28">
        <f>P64*6</f>
        <v>-103189.61999999994</v>
      </c>
      <c r="Q65" s="12"/>
      <c r="R65" s="12"/>
      <c r="S65" s="12">
        <f>S64*7</f>
        <v>-225808.08999999979</v>
      </c>
    </row>
    <row r="66" spans="1:19" x14ac:dyDescent="0.3">
      <c r="A66" s="1"/>
      <c r="B66" s="102" t="s">
        <v>89</v>
      </c>
      <c r="C66" s="103"/>
      <c r="D66" s="103"/>
      <c r="E66" s="103"/>
      <c r="F66" s="104"/>
      <c r="G66" s="174">
        <f>(P65+S65)*-1</f>
        <v>328997.70999999973</v>
      </c>
      <c r="H66" s="175"/>
      <c r="I66" s="105"/>
      <c r="J66" s="106"/>
      <c r="K66" s="139"/>
      <c r="L66" s="140"/>
      <c r="M66" s="135"/>
      <c r="N66" s="136"/>
      <c r="O66" s="30"/>
      <c r="P66" s="28"/>
      <c r="Q66" s="14"/>
      <c r="R66" s="14"/>
      <c r="S66" s="12"/>
    </row>
    <row r="67" spans="1:19" x14ac:dyDescent="0.3">
      <c r="A67" s="1"/>
      <c r="B67" s="102" t="s">
        <v>63</v>
      </c>
      <c r="C67" s="103"/>
      <c r="D67" s="103"/>
      <c r="E67" s="103"/>
      <c r="F67" s="104"/>
      <c r="G67" s="177">
        <f>G66/G71</f>
        <v>52.234295467174682</v>
      </c>
      <c r="H67" s="178"/>
      <c r="I67" s="105"/>
      <c r="J67" s="106"/>
      <c r="K67" s="135"/>
      <c r="L67" s="136"/>
      <c r="M67" s="135"/>
      <c r="N67" s="136"/>
      <c r="O67" s="30"/>
      <c r="P67" s="22"/>
      <c r="Q67" s="14"/>
      <c r="R67" s="14"/>
      <c r="S67" s="14"/>
    </row>
    <row r="68" spans="1:19" ht="41.4" customHeight="1" x14ac:dyDescent="0.3">
      <c r="A68" s="1"/>
      <c r="B68" s="169" t="s">
        <v>95</v>
      </c>
      <c r="C68" s="170"/>
      <c r="D68" s="170"/>
      <c r="E68" s="170"/>
      <c r="F68" s="171"/>
      <c r="G68" s="172">
        <f>(G66-119827.19)/G71</f>
        <v>33.209576883384891</v>
      </c>
      <c r="H68" s="173"/>
      <c r="I68" s="105"/>
      <c r="J68" s="106"/>
      <c r="K68" s="135"/>
      <c r="L68" s="136"/>
      <c r="M68" s="135"/>
      <c r="N68" s="136"/>
      <c r="O68" s="30"/>
      <c r="P68" s="22"/>
      <c r="Q68" s="14"/>
      <c r="R68" s="14"/>
      <c r="S68" s="14"/>
    </row>
    <row r="69" spans="1:19" x14ac:dyDescent="0.3">
      <c r="P69" s="10"/>
    </row>
    <row r="70" spans="1:19" ht="15.6" x14ac:dyDescent="0.3">
      <c r="B70" s="88" t="s">
        <v>64</v>
      </c>
      <c r="C70" s="88"/>
      <c r="D70" s="88"/>
      <c r="E70" s="88"/>
      <c r="F70" s="88"/>
      <c r="G70">
        <v>6092.6</v>
      </c>
      <c r="K70" s="4"/>
    </row>
    <row r="71" spans="1:19" x14ac:dyDescent="0.3">
      <c r="B71" s="88" t="s">
        <v>65</v>
      </c>
      <c r="C71" s="88"/>
      <c r="D71" s="88"/>
      <c r="E71" s="88"/>
      <c r="F71" s="88"/>
      <c r="G71">
        <v>6298.5</v>
      </c>
    </row>
    <row r="72" spans="1:19" x14ac:dyDescent="0.3">
      <c r="B72" s="88" t="s">
        <v>66</v>
      </c>
      <c r="C72" s="88"/>
      <c r="D72" s="88"/>
      <c r="E72" s="88"/>
      <c r="F72" s="88"/>
      <c r="G72">
        <v>1813.6</v>
      </c>
    </row>
    <row r="73" spans="1:19" x14ac:dyDescent="0.3">
      <c r="B73" s="88"/>
      <c r="C73" s="88"/>
      <c r="D73" s="88"/>
      <c r="E73" s="88"/>
    </row>
    <row r="74" spans="1:19" x14ac:dyDescent="0.3">
      <c r="B74" s="88" t="s">
        <v>144</v>
      </c>
      <c r="C74" s="88"/>
      <c r="D74" s="88"/>
      <c r="E74" s="88"/>
      <c r="F74" s="88"/>
      <c r="G74" s="88"/>
    </row>
  </sheetData>
  <mergeCells count="299">
    <mergeCell ref="A1:G1"/>
    <mergeCell ref="B70:F70"/>
    <mergeCell ref="B71:F71"/>
    <mergeCell ref="B72:F72"/>
    <mergeCell ref="B73:E73"/>
    <mergeCell ref="B67:F67"/>
    <mergeCell ref="G67:H67"/>
    <mergeCell ref="I67:J67"/>
    <mergeCell ref="K67:L67"/>
    <mergeCell ref="B61:F61"/>
    <mergeCell ref="G61:H61"/>
    <mergeCell ref="I61:J61"/>
    <mergeCell ref="K61:L61"/>
    <mergeCell ref="G9:K9"/>
    <mergeCell ref="B10:F11"/>
    <mergeCell ref="G10:H11"/>
    <mergeCell ref="I10:J11"/>
    <mergeCell ref="K10:L11"/>
    <mergeCell ref="B12:F12"/>
    <mergeCell ref="G12:H12"/>
    <mergeCell ref="I12:J12"/>
    <mergeCell ref="K12:L12"/>
    <mergeCell ref="B15:F15"/>
    <mergeCell ref="G15:H15"/>
    <mergeCell ref="M67:N67"/>
    <mergeCell ref="B68:F68"/>
    <mergeCell ref="G68:H68"/>
    <mergeCell ref="I68:J68"/>
    <mergeCell ref="K68:L68"/>
    <mergeCell ref="M68:N68"/>
    <mergeCell ref="B66:F66"/>
    <mergeCell ref="G66:H66"/>
    <mergeCell ref="I66:J66"/>
    <mergeCell ref="K66:L66"/>
    <mergeCell ref="M66:N66"/>
    <mergeCell ref="M61:N61"/>
    <mergeCell ref="B65:F65"/>
    <mergeCell ref="G65:H65"/>
    <mergeCell ref="I65:J65"/>
    <mergeCell ref="K65:L65"/>
    <mergeCell ref="M65:N65"/>
    <mergeCell ref="B62:F62"/>
    <mergeCell ref="B63:F63"/>
    <mergeCell ref="G63:H63"/>
    <mergeCell ref="I63:J63"/>
    <mergeCell ref="K63:L63"/>
    <mergeCell ref="M63:N63"/>
    <mergeCell ref="M9:P9"/>
    <mergeCell ref="B9:F9"/>
    <mergeCell ref="A9:A11"/>
    <mergeCell ref="Q9:S9"/>
    <mergeCell ref="B64:F64"/>
    <mergeCell ref="G64:H64"/>
    <mergeCell ref="I64:J64"/>
    <mergeCell ref="K64:L64"/>
    <mergeCell ref="M64:N64"/>
    <mergeCell ref="Q10:Q11"/>
    <mergeCell ref="R10:R11"/>
    <mergeCell ref="B60:F60"/>
    <mergeCell ref="G60:H60"/>
    <mergeCell ref="I60:J60"/>
    <mergeCell ref="K60:L60"/>
    <mergeCell ref="M60:N60"/>
    <mergeCell ref="S47:S48"/>
    <mergeCell ref="S34:S35"/>
    <mergeCell ref="S36:S37"/>
    <mergeCell ref="S41:S42"/>
    <mergeCell ref="M39:N39"/>
    <mergeCell ref="B57:F57"/>
    <mergeCell ref="P47:P48"/>
    <mergeCell ref="S10:S11"/>
    <mergeCell ref="S26:S27"/>
    <mergeCell ref="Q26:Q27"/>
    <mergeCell ref="R26:R27"/>
    <mergeCell ref="Q34:Q35"/>
    <mergeCell ref="R34:R35"/>
    <mergeCell ref="Q36:Q37"/>
    <mergeCell ref="R36:R37"/>
    <mergeCell ref="Q41:Q42"/>
    <mergeCell ref="R41:R42"/>
    <mergeCell ref="Q28:Q29"/>
    <mergeCell ref="R28:R29"/>
    <mergeCell ref="S28:S29"/>
    <mergeCell ref="I15:J15"/>
    <mergeCell ref="K15:L15"/>
    <mergeCell ref="B13:F13"/>
    <mergeCell ref="Q47:Q48"/>
    <mergeCell ref="R47:R48"/>
    <mergeCell ref="G23:H23"/>
    <mergeCell ref="I23:J23"/>
    <mergeCell ref="K23:L23"/>
    <mergeCell ref="M23:N23"/>
    <mergeCell ref="B21:F21"/>
    <mergeCell ref="B24:F24"/>
    <mergeCell ref="G24:H24"/>
    <mergeCell ref="I24:J24"/>
    <mergeCell ref="K24:L24"/>
    <mergeCell ref="B23:F23"/>
    <mergeCell ref="B39:F39"/>
    <mergeCell ref="G39:H39"/>
    <mergeCell ref="I39:J39"/>
    <mergeCell ref="K39:L39"/>
    <mergeCell ref="G13:H13"/>
    <mergeCell ref="I13:J13"/>
    <mergeCell ref="K13:L13"/>
    <mergeCell ref="B14:F14"/>
    <mergeCell ref="G14:H14"/>
    <mergeCell ref="G26:H27"/>
    <mergeCell ref="I26:J27"/>
    <mergeCell ref="K26:L27"/>
    <mergeCell ref="B17:F17"/>
    <mergeCell ref="G17:H17"/>
    <mergeCell ref="I17:J17"/>
    <mergeCell ref="K17:L17"/>
    <mergeCell ref="B18:F18"/>
    <mergeCell ref="G18:H18"/>
    <mergeCell ref="I18:J18"/>
    <mergeCell ref="K18:L18"/>
    <mergeCell ref="B19:F19"/>
    <mergeCell ref="G19:H19"/>
    <mergeCell ref="I19:J19"/>
    <mergeCell ref="K19:L19"/>
    <mergeCell ref="B40:F40"/>
    <mergeCell ref="G40:H40"/>
    <mergeCell ref="I40:J40"/>
    <mergeCell ref="K40:L40"/>
    <mergeCell ref="B20:F20"/>
    <mergeCell ref="G20:H20"/>
    <mergeCell ref="I20:J20"/>
    <mergeCell ref="K20:L20"/>
    <mergeCell ref="A34:A35"/>
    <mergeCell ref="B34:F35"/>
    <mergeCell ref="G34:H35"/>
    <mergeCell ref="I34:J35"/>
    <mergeCell ref="K34:L35"/>
    <mergeCell ref="B31:F31"/>
    <mergeCell ref="G31:H31"/>
    <mergeCell ref="B22:F22"/>
    <mergeCell ref="G22:H22"/>
    <mergeCell ref="B25:F25"/>
    <mergeCell ref="G25:H25"/>
    <mergeCell ref="A28:A29"/>
    <mergeCell ref="B28:F29"/>
    <mergeCell ref="G28:H29"/>
    <mergeCell ref="K25:L25"/>
    <mergeCell ref="A26:A27"/>
    <mergeCell ref="A41:A42"/>
    <mergeCell ref="B41:F42"/>
    <mergeCell ref="G41:H42"/>
    <mergeCell ref="I41:J42"/>
    <mergeCell ref="K41:L42"/>
    <mergeCell ref="B50:F50"/>
    <mergeCell ref="G50:H50"/>
    <mergeCell ref="I50:J50"/>
    <mergeCell ref="K50:L50"/>
    <mergeCell ref="B45:F45"/>
    <mergeCell ref="G45:H45"/>
    <mergeCell ref="I45:J45"/>
    <mergeCell ref="K45:L45"/>
    <mergeCell ref="B46:F46"/>
    <mergeCell ref="G46:H46"/>
    <mergeCell ref="I46:J46"/>
    <mergeCell ref="K46:L46"/>
    <mergeCell ref="B43:F43"/>
    <mergeCell ref="G43:H43"/>
    <mergeCell ref="I43:J43"/>
    <mergeCell ref="K43:L43"/>
    <mergeCell ref="B44:F44"/>
    <mergeCell ref="G44:H44"/>
    <mergeCell ref="I44:J44"/>
    <mergeCell ref="A47:A48"/>
    <mergeCell ref="B47:F48"/>
    <mergeCell ref="G47:H48"/>
    <mergeCell ref="I47:J48"/>
    <mergeCell ref="K47:L48"/>
    <mergeCell ref="B49:F49"/>
    <mergeCell ref="G49:H49"/>
    <mergeCell ref="I49:J49"/>
    <mergeCell ref="K49:L49"/>
    <mergeCell ref="B59:F59"/>
    <mergeCell ref="G59:H59"/>
    <mergeCell ref="I59:J59"/>
    <mergeCell ref="K59:L59"/>
    <mergeCell ref="B58:F58"/>
    <mergeCell ref="G58:H58"/>
    <mergeCell ref="I58:J58"/>
    <mergeCell ref="K58:L58"/>
    <mergeCell ref="K51:L51"/>
    <mergeCell ref="B56:F56"/>
    <mergeCell ref="G56:H56"/>
    <mergeCell ref="I56:J56"/>
    <mergeCell ref="K56:L56"/>
    <mergeCell ref="B53:F53"/>
    <mergeCell ref="G53:H53"/>
    <mergeCell ref="I53:J53"/>
    <mergeCell ref="K53:L53"/>
    <mergeCell ref="B55:F55"/>
    <mergeCell ref="G55:H55"/>
    <mergeCell ref="I55:J55"/>
    <mergeCell ref="K55:L55"/>
    <mergeCell ref="B54:F54"/>
    <mergeCell ref="G54:H54"/>
    <mergeCell ref="B51:F51"/>
    <mergeCell ref="I54:J54"/>
    <mergeCell ref="M33:N33"/>
    <mergeCell ref="M38:N38"/>
    <mergeCell ref="M22:N22"/>
    <mergeCell ref="M53:N53"/>
    <mergeCell ref="M55:N55"/>
    <mergeCell ref="M56:N56"/>
    <mergeCell ref="M58:N58"/>
    <mergeCell ref="M59:N59"/>
    <mergeCell ref="M46:N46"/>
    <mergeCell ref="M49:N49"/>
    <mergeCell ref="M50:N50"/>
    <mergeCell ref="M51:N51"/>
    <mergeCell ref="M47:N48"/>
    <mergeCell ref="K30:L30"/>
    <mergeCell ref="I31:J31"/>
    <mergeCell ref="K31:L31"/>
    <mergeCell ref="I22:J22"/>
    <mergeCell ref="K22:L22"/>
    <mergeCell ref="I25:J25"/>
    <mergeCell ref="K54:L54"/>
    <mergeCell ref="M54:N54"/>
    <mergeCell ref="I28:J29"/>
    <mergeCell ref="K28:L29"/>
    <mergeCell ref="O47:O48"/>
    <mergeCell ref="P41:P42"/>
    <mergeCell ref="P36:P37"/>
    <mergeCell ref="M36:M37"/>
    <mergeCell ref="O36:O37"/>
    <mergeCell ref="M24:N24"/>
    <mergeCell ref="M25:N25"/>
    <mergeCell ref="M30:N30"/>
    <mergeCell ref="M26:N27"/>
    <mergeCell ref="O26:O27"/>
    <mergeCell ref="M34:M35"/>
    <mergeCell ref="O34:O35"/>
    <mergeCell ref="P34:P35"/>
    <mergeCell ref="O41:O42"/>
    <mergeCell ref="M41:N42"/>
    <mergeCell ref="P26:P27"/>
    <mergeCell ref="O28:O29"/>
    <mergeCell ref="P28:P29"/>
    <mergeCell ref="M40:N40"/>
    <mergeCell ref="M43:N43"/>
    <mergeCell ref="M44:N44"/>
    <mergeCell ref="M45:N45"/>
    <mergeCell ref="M31:N31"/>
    <mergeCell ref="M32:N32"/>
    <mergeCell ref="K38:L38"/>
    <mergeCell ref="B36:F37"/>
    <mergeCell ref="P10:P11"/>
    <mergeCell ref="M15:N15"/>
    <mergeCell ref="M16:N16"/>
    <mergeCell ref="M17:N17"/>
    <mergeCell ref="M18:N18"/>
    <mergeCell ref="M19:N19"/>
    <mergeCell ref="M20:N20"/>
    <mergeCell ref="M10:N11"/>
    <mergeCell ref="O10:O11"/>
    <mergeCell ref="M12:N12"/>
    <mergeCell ref="M13:N13"/>
    <mergeCell ref="M14:N14"/>
    <mergeCell ref="G36:G37"/>
    <mergeCell ref="I36:I37"/>
    <mergeCell ref="K36:K37"/>
    <mergeCell ref="I14:J14"/>
    <mergeCell ref="K14:L14"/>
    <mergeCell ref="B16:F16"/>
    <mergeCell ref="G16:H16"/>
    <mergeCell ref="I16:J16"/>
    <mergeCell ref="K16:L16"/>
    <mergeCell ref="B26:F27"/>
    <mergeCell ref="B74:G74"/>
    <mergeCell ref="C7:R7"/>
    <mergeCell ref="M28:N29"/>
    <mergeCell ref="B52:F52"/>
    <mergeCell ref="G52:H52"/>
    <mergeCell ref="I52:J52"/>
    <mergeCell ref="K52:L52"/>
    <mergeCell ref="M52:N52"/>
    <mergeCell ref="B32:F32"/>
    <mergeCell ref="G32:H32"/>
    <mergeCell ref="I32:J32"/>
    <mergeCell ref="K32:L32"/>
    <mergeCell ref="B33:F33"/>
    <mergeCell ref="G33:H33"/>
    <mergeCell ref="I33:J33"/>
    <mergeCell ref="K33:L33"/>
    <mergeCell ref="B30:F30"/>
    <mergeCell ref="G30:H30"/>
    <mergeCell ref="I30:J30"/>
    <mergeCell ref="K44:L44"/>
    <mergeCell ref="G51:H51"/>
    <mergeCell ref="I51:J51"/>
    <mergeCell ref="B38:F38"/>
    <mergeCell ref="I38:J38"/>
  </mergeCells>
  <pageMargins left="0.23622047244094491" right="0.23622047244094491" top="0.74803149606299213" bottom="0.74803149606299213" header="0.31496062992125984" footer="0.31496062992125984"/>
  <pageSetup paperSize="9" scale="5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73"/>
  <sheetViews>
    <sheetView tabSelected="1" topLeftCell="D1" workbookViewId="0">
      <selection activeCell="D1" sqref="D1:N71"/>
    </sheetView>
  </sheetViews>
  <sheetFormatPr defaultRowHeight="14.4" x14ac:dyDescent="0.3"/>
  <cols>
    <col min="2" max="2" width="4.109375" customWidth="1"/>
    <col min="3" max="3" width="7.33203125" customWidth="1"/>
    <col min="5" max="5" width="8.88671875" customWidth="1"/>
    <col min="6" max="6" width="10.5546875" customWidth="1"/>
    <col min="8" max="8" width="21.33203125" customWidth="1"/>
    <col min="9" max="9" width="11.21875" customWidth="1"/>
    <col min="10" max="10" width="13" customWidth="1"/>
    <col min="11" max="11" width="14.21875" customWidth="1"/>
    <col min="12" max="12" width="11.6640625" customWidth="1"/>
    <col min="13" max="13" width="13.5546875" customWidth="1"/>
    <col min="14" max="14" width="11" customWidth="1"/>
  </cols>
  <sheetData>
    <row r="1" spans="3:14" x14ac:dyDescent="0.3">
      <c r="D1" s="88" t="s">
        <v>141</v>
      </c>
      <c r="E1" s="88"/>
      <c r="F1" s="88"/>
      <c r="G1" s="88"/>
      <c r="H1" s="88"/>
    </row>
    <row r="2" spans="3:14" x14ac:dyDescent="0.3">
      <c r="D2" s="82" t="s">
        <v>0</v>
      </c>
      <c r="E2" s="82"/>
      <c r="F2" s="82"/>
      <c r="G2" s="82"/>
    </row>
    <row r="3" spans="3:14" ht="18" x14ac:dyDescent="0.35">
      <c r="D3" s="81" t="s">
        <v>36</v>
      </c>
      <c r="E3" s="82"/>
      <c r="F3" s="82"/>
      <c r="G3" s="82"/>
    </row>
    <row r="4" spans="3:14" x14ac:dyDescent="0.3">
      <c r="D4" s="82" t="s">
        <v>153</v>
      </c>
      <c r="E4" s="82"/>
      <c r="F4" s="82"/>
      <c r="G4" s="82"/>
    </row>
    <row r="5" spans="3:14" x14ac:dyDescent="0.3">
      <c r="D5" s="3" t="s">
        <v>154</v>
      </c>
      <c r="E5" s="3"/>
      <c r="F5" s="3"/>
      <c r="G5" s="3"/>
      <c r="H5" s="3"/>
    </row>
    <row r="8" spans="3:14" ht="48.6" customHeight="1" x14ac:dyDescent="0.3">
      <c r="C8" s="163" t="s">
        <v>1</v>
      </c>
      <c r="D8" s="160"/>
      <c r="E8" s="161"/>
      <c r="F8" s="161"/>
      <c r="G8" s="161"/>
      <c r="H8" s="162"/>
      <c r="I8" s="160" t="s">
        <v>76</v>
      </c>
      <c r="J8" s="161"/>
      <c r="K8" s="162"/>
      <c r="L8" s="160" t="s">
        <v>70</v>
      </c>
      <c r="M8" s="161"/>
      <c r="N8" s="162"/>
    </row>
    <row r="9" spans="3:14" x14ac:dyDescent="0.3">
      <c r="C9" s="164"/>
      <c r="D9" s="202" t="s">
        <v>2</v>
      </c>
      <c r="E9" s="203"/>
      <c r="F9" s="203"/>
      <c r="G9" s="203"/>
      <c r="H9" s="204"/>
      <c r="I9" s="157" t="s">
        <v>74</v>
      </c>
      <c r="J9" s="157" t="s">
        <v>73</v>
      </c>
      <c r="K9" s="157" t="s">
        <v>37</v>
      </c>
      <c r="L9" s="157" t="s">
        <v>55</v>
      </c>
      <c r="M9" s="157" t="s">
        <v>72</v>
      </c>
      <c r="N9" s="157" t="s">
        <v>37</v>
      </c>
    </row>
    <row r="10" spans="3:14" x14ac:dyDescent="0.3">
      <c r="C10" s="165"/>
      <c r="D10" s="205"/>
      <c r="E10" s="206"/>
      <c r="F10" s="206"/>
      <c r="G10" s="206"/>
      <c r="H10" s="207"/>
      <c r="I10" s="158"/>
      <c r="J10" s="158"/>
      <c r="K10" s="158"/>
      <c r="L10" s="158"/>
      <c r="M10" s="158"/>
      <c r="N10" s="158"/>
    </row>
    <row r="11" spans="3:14" x14ac:dyDescent="0.3">
      <c r="C11" s="1"/>
      <c r="D11" s="195" t="s">
        <v>13</v>
      </c>
      <c r="E11" s="196"/>
      <c r="F11" s="196"/>
      <c r="G11" s="196"/>
      <c r="H11" s="197"/>
      <c r="I11" s="36"/>
      <c r="J11" s="36"/>
      <c r="K11" s="36"/>
      <c r="L11" s="36"/>
      <c r="M11" s="36"/>
      <c r="N11" s="36"/>
    </row>
    <row r="12" spans="3:14" x14ac:dyDescent="0.3">
      <c r="C12" s="1" t="s">
        <v>8</v>
      </c>
      <c r="D12" s="195" t="s">
        <v>14</v>
      </c>
      <c r="E12" s="196"/>
      <c r="F12" s="196"/>
      <c r="G12" s="196"/>
      <c r="H12" s="197"/>
      <c r="I12" s="36"/>
      <c r="J12" s="36"/>
      <c r="K12" s="36"/>
      <c r="L12" s="36"/>
      <c r="M12" s="36"/>
      <c r="N12" s="36"/>
    </row>
    <row r="13" spans="3:14" x14ac:dyDescent="0.3">
      <c r="C13" s="1"/>
      <c r="D13" s="191" t="s">
        <v>15</v>
      </c>
      <c r="E13" s="192"/>
      <c r="F13" s="192"/>
      <c r="G13" s="192"/>
      <c r="H13" s="193"/>
      <c r="I13" s="36">
        <v>117437.64</v>
      </c>
      <c r="J13" s="36">
        <f t="shared" ref="J13:J21" si="0">I13*5</f>
        <v>587188.19999999995</v>
      </c>
      <c r="K13" s="36"/>
      <c r="L13" s="36">
        <f>M13/5</f>
        <v>116902.276</v>
      </c>
      <c r="M13" s="36">
        <v>584511.38</v>
      </c>
      <c r="N13" s="36"/>
    </row>
    <row r="14" spans="3:14" x14ac:dyDescent="0.3">
      <c r="C14" s="1"/>
      <c r="D14" s="191" t="s">
        <v>16</v>
      </c>
      <c r="E14" s="192"/>
      <c r="F14" s="192"/>
      <c r="G14" s="192"/>
      <c r="H14" s="193"/>
      <c r="I14" s="36">
        <v>22000</v>
      </c>
      <c r="J14" s="36">
        <f t="shared" si="0"/>
        <v>110000</v>
      </c>
      <c r="K14" s="36"/>
      <c r="L14" s="36">
        <v>22000</v>
      </c>
      <c r="M14" s="36">
        <f>L14*5</f>
        <v>110000</v>
      </c>
      <c r="N14" s="36"/>
    </row>
    <row r="15" spans="3:14" x14ac:dyDescent="0.3">
      <c r="C15" s="1"/>
      <c r="D15" s="191" t="s">
        <v>17</v>
      </c>
      <c r="E15" s="192"/>
      <c r="F15" s="192"/>
      <c r="G15" s="192"/>
      <c r="H15" s="193"/>
      <c r="I15" s="36">
        <v>12516</v>
      </c>
      <c r="J15" s="36">
        <f t="shared" si="0"/>
        <v>62580</v>
      </c>
      <c r="K15" s="36"/>
      <c r="L15" s="36">
        <f>M15/5</f>
        <v>11650.164000000001</v>
      </c>
      <c r="M15" s="36">
        <v>58250.82</v>
      </c>
      <c r="N15" s="36"/>
    </row>
    <row r="16" spans="3:14" x14ac:dyDescent="0.3">
      <c r="C16" s="1"/>
      <c r="D16" s="191" t="s">
        <v>18</v>
      </c>
      <c r="E16" s="192"/>
      <c r="F16" s="192"/>
      <c r="G16" s="192"/>
      <c r="H16" s="193"/>
      <c r="I16" s="36">
        <v>400</v>
      </c>
      <c r="J16" s="36">
        <f t="shared" si="0"/>
        <v>2000</v>
      </c>
      <c r="K16" s="36"/>
      <c r="L16" s="36">
        <f>M16/5</f>
        <v>278.59800000000001</v>
      </c>
      <c r="M16" s="36">
        <v>1392.99</v>
      </c>
      <c r="N16" s="36"/>
    </row>
    <row r="17" spans="3:14" x14ac:dyDescent="0.3">
      <c r="C17" s="1"/>
      <c r="D17" s="191" t="s">
        <v>41</v>
      </c>
      <c r="E17" s="192"/>
      <c r="F17" s="192"/>
      <c r="G17" s="192"/>
      <c r="H17" s="193"/>
      <c r="I17" s="36">
        <v>2000</v>
      </c>
      <c r="J17" s="36">
        <f t="shared" si="0"/>
        <v>10000</v>
      </c>
      <c r="K17" s="36"/>
      <c r="L17" s="36">
        <f>M17/5</f>
        <v>16</v>
      </c>
      <c r="M17" s="36">
        <v>80</v>
      </c>
      <c r="N17" s="36"/>
    </row>
    <row r="18" spans="3:14" x14ac:dyDescent="0.3">
      <c r="C18" s="1"/>
      <c r="D18" s="191" t="s">
        <v>19</v>
      </c>
      <c r="E18" s="192"/>
      <c r="F18" s="192"/>
      <c r="G18" s="192"/>
      <c r="H18" s="193"/>
      <c r="I18" s="36">
        <v>300</v>
      </c>
      <c r="J18" s="36">
        <f t="shared" si="0"/>
        <v>1500</v>
      </c>
      <c r="K18" s="36"/>
      <c r="L18" s="36">
        <f>M18/5</f>
        <v>242.65600000000001</v>
      </c>
      <c r="M18" s="36">
        <v>1213.28</v>
      </c>
      <c r="N18" s="36"/>
    </row>
    <row r="19" spans="3:14" x14ac:dyDescent="0.3">
      <c r="C19" s="1"/>
      <c r="D19" s="191" t="s">
        <v>43</v>
      </c>
      <c r="E19" s="192"/>
      <c r="F19" s="192"/>
      <c r="G19" s="192"/>
      <c r="H19" s="193"/>
      <c r="I19" s="36">
        <v>700</v>
      </c>
      <c r="J19" s="36">
        <f t="shared" si="0"/>
        <v>3500</v>
      </c>
      <c r="K19" s="36"/>
      <c r="L19" s="36">
        <f>M19/5</f>
        <v>1577.8</v>
      </c>
      <c r="M19" s="36">
        <v>7889</v>
      </c>
      <c r="N19" s="36"/>
    </row>
    <row r="20" spans="3:14" x14ac:dyDescent="0.3">
      <c r="C20" s="1"/>
      <c r="D20" s="191" t="s">
        <v>93</v>
      </c>
      <c r="E20" s="192"/>
      <c r="F20" s="192"/>
      <c r="G20" s="192"/>
      <c r="H20" s="193"/>
      <c r="I20" s="36">
        <v>3928.6</v>
      </c>
      <c r="J20" s="36">
        <f t="shared" si="0"/>
        <v>19643</v>
      </c>
      <c r="K20" s="36"/>
      <c r="L20" s="36"/>
      <c r="M20" s="36"/>
      <c r="N20" s="36"/>
    </row>
    <row r="21" spans="3:14" x14ac:dyDescent="0.3">
      <c r="C21" s="1"/>
      <c r="D21" s="191" t="s">
        <v>44</v>
      </c>
      <c r="E21" s="192"/>
      <c r="F21" s="192"/>
      <c r="G21" s="192"/>
      <c r="H21" s="193"/>
      <c r="I21" s="36">
        <v>6666</v>
      </c>
      <c r="J21" s="36">
        <f t="shared" si="0"/>
        <v>33330</v>
      </c>
      <c r="K21" s="36"/>
      <c r="L21" s="36">
        <v>7888.5</v>
      </c>
      <c r="M21" s="36">
        <f>L21*5</f>
        <v>39442.5</v>
      </c>
      <c r="N21" s="12"/>
    </row>
    <row r="22" spans="3:14" x14ac:dyDescent="0.3">
      <c r="C22" s="1"/>
      <c r="D22" s="191" t="s">
        <v>50</v>
      </c>
      <c r="E22" s="192"/>
      <c r="F22" s="192"/>
      <c r="G22" s="192"/>
      <c r="H22" s="193"/>
      <c r="I22" s="36"/>
      <c r="J22" s="36"/>
      <c r="K22" s="36"/>
      <c r="L22" s="36">
        <f>M22/7</f>
        <v>462.70142857142855</v>
      </c>
      <c r="M22" s="36">
        <v>3238.91</v>
      </c>
      <c r="N22" s="36"/>
    </row>
    <row r="23" spans="3:14" x14ac:dyDescent="0.3">
      <c r="C23" s="1"/>
      <c r="D23" s="195" t="s">
        <v>20</v>
      </c>
      <c r="E23" s="196"/>
      <c r="F23" s="196"/>
      <c r="G23" s="196"/>
      <c r="H23" s="197"/>
      <c r="I23" s="12">
        <f>I22+I20+I19+I18+I17+I16+I15+I14+I13+I21</f>
        <v>165948.24</v>
      </c>
      <c r="J23" s="12">
        <f>J22+J20+J19+J18+J17+J16+J15+J14+J13+J21</f>
        <v>829741.2</v>
      </c>
      <c r="K23" s="12">
        <f>I23/H63</f>
        <v>26.347263634198619</v>
      </c>
      <c r="L23" s="12">
        <f>L22+L21+L19+L18+L17+L16+L15+L14+L13</f>
        <v>161018.69542857143</v>
      </c>
      <c r="M23" s="12">
        <f>L23*5</f>
        <v>805093.47714285715</v>
      </c>
      <c r="N23" s="12">
        <f>L23/H63</f>
        <v>25.564609895780176</v>
      </c>
    </row>
    <row r="24" spans="3:14" x14ac:dyDescent="0.3">
      <c r="C24" s="7" t="s">
        <v>10</v>
      </c>
      <c r="D24" s="195" t="s">
        <v>21</v>
      </c>
      <c r="E24" s="196"/>
      <c r="F24" s="196"/>
      <c r="G24" s="196"/>
      <c r="H24" s="197"/>
      <c r="I24" s="36"/>
      <c r="J24" s="36"/>
      <c r="K24" s="36"/>
      <c r="L24" s="36"/>
      <c r="M24" s="36"/>
      <c r="N24" s="36"/>
    </row>
    <row r="25" spans="3:14" x14ac:dyDescent="0.3">
      <c r="C25" s="146"/>
      <c r="D25" s="185" t="s">
        <v>22</v>
      </c>
      <c r="E25" s="186"/>
      <c r="F25" s="186"/>
      <c r="G25" s="186"/>
      <c r="H25" s="187"/>
      <c r="I25" s="154">
        <v>140979.54</v>
      </c>
      <c r="J25" s="154">
        <f>I25*5</f>
        <v>704897.70000000007</v>
      </c>
      <c r="K25" s="157"/>
      <c r="L25" s="154">
        <v>140979.54</v>
      </c>
      <c r="M25" s="154">
        <f>L25*5</f>
        <v>704897.70000000007</v>
      </c>
      <c r="N25" s="157"/>
    </row>
    <row r="26" spans="3:14" x14ac:dyDescent="0.3">
      <c r="C26" s="147"/>
      <c r="D26" s="188"/>
      <c r="E26" s="189"/>
      <c r="F26" s="189"/>
      <c r="G26" s="189"/>
      <c r="H26" s="190"/>
      <c r="I26" s="154"/>
      <c r="J26" s="154"/>
      <c r="K26" s="158"/>
      <c r="L26" s="154"/>
      <c r="M26" s="154"/>
      <c r="N26" s="158"/>
    </row>
    <row r="27" spans="3:14" x14ac:dyDescent="0.3">
      <c r="C27" s="146"/>
      <c r="D27" s="185" t="s">
        <v>75</v>
      </c>
      <c r="E27" s="186"/>
      <c r="F27" s="186"/>
      <c r="G27" s="186"/>
      <c r="H27" s="187"/>
      <c r="I27" s="157">
        <v>5000</v>
      </c>
      <c r="J27" s="157">
        <v>25000</v>
      </c>
      <c r="K27" s="157"/>
      <c r="L27" s="154">
        <v>7000</v>
      </c>
      <c r="M27" s="154">
        <f>L27*5</f>
        <v>35000</v>
      </c>
      <c r="N27" s="157"/>
    </row>
    <row r="28" spans="3:14" x14ac:dyDescent="0.3">
      <c r="C28" s="147"/>
      <c r="D28" s="188"/>
      <c r="E28" s="189"/>
      <c r="F28" s="189"/>
      <c r="G28" s="189"/>
      <c r="H28" s="190"/>
      <c r="I28" s="158"/>
      <c r="J28" s="158"/>
      <c r="K28" s="158"/>
      <c r="L28" s="154"/>
      <c r="M28" s="154"/>
      <c r="N28" s="158"/>
    </row>
    <row r="29" spans="3:14" x14ac:dyDescent="0.3">
      <c r="C29" s="1"/>
      <c r="D29" s="208" t="s">
        <v>23</v>
      </c>
      <c r="E29" s="209"/>
      <c r="F29" s="209"/>
      <c r="G29" s="209"/>
      <c r="H29" s="210"/>
      <c r="I29" s="36">
        <v>1166.67</v>
      </c>
      <c r="J29" s="36">
        <f>I29*5</f>
        <v>5833.35</v>
      </c>
      <c r="K29" s="36"/>
      <c r="L29" s="36"/>
      <c r="M29" s="36"/>
      <c r="N29" s="36"/>
    </row>
    <row r="30" spans="3:14" x14ac:dyDescent="0.3">
      <c r="C30" s="1"/>
      <c r="D30" s="211" t="s">
        <v>24</v>
      </c>
      <c r="E30" s="212"/>
      <c r="F30" s="212"/>
      <c r="G30" s="212"/>
      <c r="H30" s="213"/>
      <c r="I30" s="36">
        <v>8850</v>
      </c>
      <c r="J30" s="36">
        <f>I30*5</f>
        <v>44250</v>
      </c>
      <c r="K30" s="36"/>
      <c r="L30" s="36">
        <v>8850</v>
      </c>
      <c r="M30" s="36">
        <f>L30*5</f>
        <v>44250</v>
      </c>
      <c r="N30" s="36"/>
    </row>
    <row r="31" spans="3:14" x14ac:dyDescent="0.3">
      <c r="C31" s="1"/>
      <c r="D31" s="211" t="s">
        <v>25</v>
      </c>
      <c r="E31" s="212"/>
      <c r="F31" s="212"/>
      <c r="G31" s="212"/>
      <c r="H31" s="213"/>
      <c r="I31" s="36">
        <v>2000</v>
      </c>
      <c r="J31" s="36">
        <f>I31*5</f>
        <v>10000</v>
      </c>
      <c r="K31" s="36"/>
      <c r="L31" s="36"/>
      <c r="M31" s="36"/>
      <c r="N31" s="36"/>
    </row>
    <row r="32" spans="3:14" x14ac:dyDescent="0.3">
      <c r="C32" s="146"/>
      <c r="D32" s="185" t="s">
        <v>26</v>
      </c>
      <c r="E32" s="186"/>
      <c r="F32" s="186"/>
      <c r="G32" s="186"/>
      <c r="H32" s="187"/>
      <c r="I32" s="157">
        <v>1000</v>
      </c>
      <c r="J32" s="157">
        <f>I32*5</f>
        <v>5000</v>
      </c>
      <c r="K32" s="157"/>
      <c r="L32" s="157">
        <f>M32/7</f>
        <v>461.5</v>
      </c>
      <c r="M32" s="157">
        <v>3230.5</v>
      </c>
      <c r="N32" s="157"/>
    </row>
    <row r="33" spans="3:14" x14ac:dyDescent="0.3">
      <c r="C33" s="147"/>
      <c r="D33" s="188"/>
      <c r="E33" s="189"/>
      <c r="F33" s="189"/>
      <c r="G33" s="189"/>
      <c r="H33" s="190"/>
      <c r="I33" s="158"/>
      <c r="J33" s="158"/>
      <c r="K33" s="158"/>
      <c r="L33" s="158"/>
      <c r="M33" s="158"/>
      <c r="N33" s="158"/>
    </row>
    <row r="34" spans="3:14" x14ac:dyDescent="0.3">
      <c r="C34" s="34"/>
      <c r="D34" s="211" t="s">
        <v>27</v>
      </c>
      <c r="E34" s="212"/>
      <c r="F34" s="212"/>
      <c r="G34" s="212"/>
      <c r="H34" s="213"/>
      <c r="I34" s="36">
        <v>13200</v>
      </c>
      <c r="J34" s="36">
        <f>I34*5</f>
        <v>66000</v>
      </c>
      <c r="K34" s="36"/>
      <c r="L34" s="36">
        <f>M34/5</f>
        <v>15000</v>
      </c>
      <c r="M34" s="36">
        <v>75000</v>
      </c>
      <c r="N34" s="36"/>
    </row>
    <row r="35" spans="3:14" x14ac:dyDescent="0.3">
      <c r="C35" s="1"/>
      <c r="D35" s="191" t="s">
        <v>51</v>
      </c>
      <c r="E35" s="192"/>
      <c r="F35" s="192"/>
      <c r="G35" s="192"/>
      <c r="H35" s="193"/>
      <c r="I35" s="36">
        <v>842.9</v>
      </c>
      <c r="J35" s="36">
        <f>I35*5</f>
        <v>4214.5</v>
      </c>
      <c r="K35" s="36"/>
      <c r="L35" s="36"/>
      <c r="M35" s="36"/>
      <c r="N35" s="36"/>
    </row>
    <row r="36" spans="3:14" x14ac:dyDescent="0.3">
      <c r="C36" s="146"/>
      <c r="D36" s="198" t="s">
        <v>29</v>
      </c>
      <c r="E36" s="199"/>
      <c r="F36" s="199"/>
      <c r="G36" s="199"/>
      <c r="H36" s="200"/>
      <c r="I36" s="157">
        <v>6000</v>
      </c>
      <c r="J36" s="157">
        <f>I36*5</f>
        <v>30000</v>
      </c>
      <c r="K36" s="157"/>
      <c r="L36" s="157"/>
      <c r="M36" s="157"/>
      <c r="N36" s="157"/>
    </row>
    <row r="37" spans="3:14" x14ac:dyDescent="0.3">
      <c r="C37" s="147"/>
      <c r="D37" s="214"/>
      <c r="E37" s="215"/>
      <c r="F37" s="215"/>
      <c r="G37" s="215"/>
      <c r="H37" s="216"/>
      <c r="I37" s="158"/>
      <c r="J37" s="158"/>
      <c r="K37" s="158"/>
      <c r="L37" s="158"/>
      <c r="M37" s="158"/>
      <c r="N37" s="158"/>
    </row>
    <row r="38" spans="3:14" x14ac:dyDescent="0.3">
      <c r="C38" s="146"/>
      <c r="D38" s="198" t="s">
        <v>78</v>
      </c>
      <c r="E38" s="199"/>
      <c r="F38" s="199"/>
      <c r="G38" s="199"/>
      <c r="H38" s="200"/>
      <c r="I38" s="157">
        <v>385.71</v>
      </c>
      <c r="J38" s="157">
        <f>I38*5</f>
        <v>1928.55</v>
      </c>
      <c r="K38" s="157"/>
      <c r="L38" s="157"/>
      <c r="M38" s="157"/>
      <c r="N38" s="157"/>
    </row>
    <row r="39" spans="3:14" x14ac:dyDescent="0.3">
      <c r="C39" s="147"/>
      <c r="D39" s="214"/>
      <c r="E39" s="215"/>
      <c r="F39" s="215"/>
      <c r="G39" s="215"/>
      <c r="H39" s="216"/>
      <c r="I39" s="158"/>
      <c r="J39" s="158"/>
      <c r="K39" s="158"/>
      <c r="L39" s="158"/>
      <c r="M39" s="158"/>
      <c r="N39" s="158"/>
    </row>
    <row r="40" spans="3:14" x14ac:dyDescent="0.3">
      <c r="C40" s="1"/>
      <c r="D40" s="195" t="s">
        <v>39</v>
      </c>
      <c r="E40" s="196"/>
      <c r="F40" s="196"/>
      <c r="G40" s="196"/>
      <c r="H40" s="197"/>
      <c r="I40" s="36">
        <v>2000</v>
      </c>
      <c r="J40" s="36">
        <f>I40*5</f>
        <v>10000</v>
      </c>
      <c r="K40" s="36"/>
      <c r="L40" s="36"/>
      <c r="M40" s="36"/>
      <c r="N40" s="36"/>
    </row>
    <row r="41" spans="3:14" x14ac:dyDescent="0.3">
      <c r="C41" s="1"/>
      <c r="D41" s="195" t="s">
        <v>30</v>
      </c>
      <c r="E41" s="196"/>
      <c r="F41" s="196"/>
      <c r="G41" s="196"/>
      <c r="H41" s="197"/>
      <c r="I41" s="12">
        <f>I25+I27+I29+I30+I31+I32+I34+I35+I38+I40+I36</f>
        <v>181424.82</v>
      </c>
      <c r="J41" s="12">
        <f>J38+J35+J34+J32+J31+J30+J29+J27+J25+J36+J40</f>
        <v>907124.10000000009</v>
      </c>
      <c r="K41" s="12">
        <f>I41/H63</f>
        <v>28.80444867825673</v>
      </c>
      <c r="L41" s="12">
        <f>L25+L27+L30+L32+L34</f>
        <v>172291.04</v>
      </c>
      <c r="M41" s="12">
        <f>L41*5</f>
        <v>861455.20000000007</v>
      </c>
      <c r="N41" s="12">
        <f>L41/H63</f>
        <v>27.354297054854332</v>
      </c>
    </row>
    <row r="42" spans="3:14" x14ac:dyDescent="0.3">
      <c r="C42" s="1" t="s">
        <v>11</v>
      </c>
      <c r="D42" s="195" t="s">
        <v>31</v>
      </c>
      <c r="E42" s="196"/>
      <c r="F42" s="196"/>
      <c r="G42" s="196"/>
      <c r="H42" s="197"/>
      <c r="I42" s="36"/>
      <c r="J42" s="36"/>
      <c r="K42" s="36"/>
      <c r="L42" s="36"/>
      <c r="M42" s="36"/>
      <c r="N42" s="36"/>
    </row>
    <row r="43" spans="3:14" x14ac:dyDescent="0.3">
      <c r="C43" s="1"/>
      <c r="D43" s="191" t="s">
        <v>32</v>
      </c>
      <c r="E43" s="192"/>
      <c r="F43" s="192"/>
      <c r="G43" s="192"/>
      <c r="H43" s="193"/>
      <c r="I43" s="36">
        <v>1800</v>
      </c>
      <c r="J43" s="36">
        <f>I43*5</f>
        <v>9000</v>
      </c>
      <c r="K43" s="36"/>
      <c r="L43" s="36">
        <f>M43/5</f>
        <v>3256.18</v>
      </c>
      <c r="M43" s="36">
        <v>16280.9</v>
      </c>
      <c r="N43" s="36"/>
    </row>
    <row r="44" spans="3:14" x14ac:dyDescent="0.3">
      <c r="C44" s="146"/>
      <c r="D44" s="198" t="s">
        <v>33</v>
      </c>
      <c r="E44" s="199"/>
      <c r="F44" s="199"/>
      <c r="G44" s="199"/>
      <c r="H44" s="200"/>
      <c r="I44" s="157">
        <v>200</v>
      </c>
      <c r="J44" s="157">
        <f>I44*5</f>
        <v>1000</v>
      </c>
      <c r="K44" s="157"/>
      <c r="L44" s="157"/>
      <c r="M44" s="157"/>
      <c r="N44" s="157"/>
    </row>
    <row r="45" spans="3:14" x14ac:dyDescent="0.3">
      <c r="C45" s="147"/>
      <c r="D45" s="214"/>
      <c r="E45" s="215"/>
      <c r="F45" s="215"/>
      <c r="G45" s="215"/>
      <c r="H45" s="216"/>
      <c r="I45" s="158"/>
      <c r="J45" s="158"/>
      <c r="K45" s="158"/>
      <c r="L45" s="158"/>
      <c r="M45" s="158"/>
      <c r="N45" s="158"/>
    </row>
    <row r="46" spans="3:14" x14ac:dyDescent="0.3">
      <c r="C46" s="1"/>
      <c r="D46" s="191" t="s">
        <v>49</v>
      </c>
      <c r="E46" s="192"/>
      <c r="F46" s="192"/>
      <c r="G46" s="192"/>
      <c r="H46" s="193"/>
      <c r="I46" s="36">
        <v>12400</v>
      </c>
      <c r="J46" s="36">
        <f>I46*5</f>
        <v>62000</v>
      </c>
      <c r="K46" s="36"/>
      <c r="L46" s="36">
        <f>M46/5</f>
        <v>13445.895999999999</v>
      </c>
      <c r="M46" s="36">
        <v>67229.48</v>
      </c>
      <c r="N46" s="36"/>
    </row>
    <row r="47" spans="3:14" x14ac:dyDescent="0.3">
      <c r="C47" s="1"/>
      <c r="D47" s="191" t="s">
        <v>45</v>
      </c>
      <c r="E47" s="192"/>
      <c r="F47" s="192"/>
      <c r="G47" s="192"/>
      <c r="H47" s="193"/>
      <c r="I47" s="36">
        <v>6000</v>
      </c>
      <c r="J47" s="36">
        <f>I47*5</f>
        <v>30000</v>
      </c>
      <c r="K47" s="36"/>
      <c r="L47" s="36"/>
      <c r="M47" s="36"/>
      <c r="N47" s="36"/>
    </row>
    <row r="48" spans="3:14" x14ac:dyDescent="0.3">
      <c r="C48" s="1"/>
      <c r="D48" s="198" t="s">
        <v>82</v>
      </c>
      <c r="E48" s="199"/>
      <c r="F48" s="199"/>
      <c r="G48" s="199"/>
      <c r="H48" s="200"/>
      <c r="I48" s="36"/>
      <c r="J48" s="36"/>
      <c r="K48" s="36"/>
      <c r="L48" s="36">
        <f>M48/5</f>
        <v>1088</v>
      </c>
      <c r="M48" s="36">
        <v>5440</v>
      </c>
      <c r="N48" s="36"/>
    </row>
    <row r="49" spans="3:15" x14ac:dyDescent="0.3">
      <c r="C49" s="1"/>
      <c r="D49" s="198" t="s">
        <v>40</v>
      </c>
      <c r="E49" s="199"/>
      <c r="F49" s="199"/>
      <c r="G49" s="199"/>
      <c r="H49" s="200"/>
      <c r="I49" s="36">
        <v>1500</v>
      </c>
      <c r="J49" s="36">
        <f>I49*5</f>
        <v>7500</v>
      </c>
      <c r="K49" s="36"/>
      <c r="L49" s="36"/>
      <c r="M49" s="36"/>
      <c r="N49" s="36"/>
    </row>
    <row r="50" spans="3:15" x14ac:dyDescent="0.3">
      <c r="C50" s="1"/>
      <c r="D50" s="201" t="s">
        <v>35</v>
      </c>
      <c r="E50" s="201"/>
      <c r="F50" s="201"/>
      <c r="G50" s="201"/>
      <c r="H50" s="201"/>
      <c r="I50" s="12">
        <f>I43+I46+I48+I49+I47+I44</f>
        <v>21900</v>
      </c>
      <c r="J50" s="12">
        <f>J43+J46+J48+J47+J49+J44</f>
        <v>109500</v>
      </c>
      <c r="K50" s="12">
        <f>I50/H63</f>
        <v>3.4770183376994521</v>
      </c>
      <c r="L50" s="12">
        <f>L43+L46+L48</f>
        <v>17790.075999999997</v>
      </c>
      <c r="M50" s="12">
        <f>L50*5</f>
        <v>88950.37999999999</v>
      </c>
      <c r="N50" s="12">
        <f>L50/H62</f>
        <v>2.9199481338016606</v>
      </c>
    </row>
    <row r="51" spans="3:15" x14ac:dyDescent="0.3">
      <c r="C51" s="1"/>
      <c r="D51" s="195"/>
      <c r="E51" s="196"/>
      <c r="F51" s="196"/>
      <c r="G51" s="196"/>
      <c r="H51" s="197"/>
      <c r="I51" s="36"/>
      <c r="J51" s="36"/>
      <c r="K51" s="36"/>
      <c r="L51" s="36"/>
      <c r="M51" s="36"/>
      <c r="N51" s="36"/>
    </row>
    <row r="52" spans="3:15" x14ac:dyDescent="0.3">
      <c r="C52" s="1"/>
      <c r="D52" s="195" t="s">
        <v>79</v>
      </c>
      <c r="E52" s="196"/>
      <c r="F52" s="196"/>
      <c r="G52" s="196"/>
      <c r="H52" s="197"/>
      <c r="I52" s="27">
        <f>I50+I41+I23</f>
        <v>369273.06</v>
      </c>
      <c r="J52" s="27">
        <f>J50+J41+J23</f>
        <v>1846365.3</v>
      </c>
      <c r="K52" s="27">
        <f>K50+K41+K23</f>
        <v>58.6287306501548</v>
      </c>
      <c r="L52" s="27">
        <f>L50+L40+L41+L23</f>
        <v>351099.81142857147</v>
      </c>
      <c r="M52" s="27">
        <f>M50+M41+M23</f>
        <v>1755499.0571428572</v>
      </c>
      <c r="N52" s="27">
        <f>N50+N41+N23</f>
        <v>55.838855084436169</v>
      </c>
      <c r="O52" s="49"/>
    </row>
    <row r="53" spans="3:15" ht="21" customHeight="1" x14ac:dyDescent="0.3">
      <c r="C53" s="1"/>
      <c r="D53" s="195" t="s">
        <v>80</v>
      </c>
      <c r="E53" s="196"/>
      <c r="F53" s="196"/>
      <c r="G53" s="196"/>
      <c r="H53" s="197"/>
      <c r="I53" s="36"/>
      <c r="J53" s="36"/>
      <c r="K53" s="12">
        <f>K52</f>
        <v>58.6287306501548</v>
      </c>
      <c r="L53" s="36"/>
      <c r="M53" s="36"/>
      <c r="N53" s="12">
        <f>N52</f>
        <v>55.838855084436169</v>
      </c>
    </row>
    <row r="54" spans="3:15" ht="33.6" customHeight="1" x14ac:dyDescent="0.3">
      <c r="C54" s="1"/>
      <c r="D54" s="218" t="s">
        <v>83</v>
      </c>
      <c r="E54" s="219"/>
      <c r="F54" s="219"/>
      <c r="G54" s="219"/>
      <c r="H54" s="220"/>
      <c r="I54" s="36"/>
      <c r="J54" s="23"/>
      <c r="K54" s="36"/>
      <c r="L54" s="12">
        <f>1813.6*35</f>
        <v>63476</v>
      </c>
      <c r="M54" s="23">
        <f>L54*5</f>
        <v>317380</v>
      </c>
      <c r="N54" s="36"/>
    </row>
    <row r="55" spans="3:15" ht="34.200000000000003" customHeight="1" x14ac:dyDescent="0.3">
      <c r="C55" s="1"/>
      <c r="D55" s="218" t="s">
        <v>84</v>
      </c>
      <c r="E55" s="219"/>
      <c r="F55" s="219"/>
      <c r="G55" s="219"/>
      <c r="H55" s="220"/>
      <c r="I55" s="12">
        <v>40500</v>
      </c>
      <c r="J55" s="23"/>
      <c r="K55" s="41">
        <f>(I52-I55)/H66</f>
        <v>40.463878598417246</v>
      </c>
      <c r="L55" s="12">
        <v>56500</v>
      </c>
      <c r="M55" s="23">
        <f>L55*5</f>
        <v>282500</v>
      </c>
      <c r="N55" s="36"/>
    </row>
    <row r="56" spans="3:15" ht="25.8" customHeight="1" x14ac:dyDescent="0.3">
      <c r="C56" s="1"/>
      <c r="D56" s="195"/>
      <c r="E56" s="196"/>
      <c r="F56" s="196"/>
      <c r="G56" s="196"/>
      <c r="H56" s="197"/>
      <c r="I56" s="27"/>
      <c r="J56" s="27"/>
      <c r="K56" s="38">
        <v>40.5</v>
      </c>
      <c r="L56" s="27"/>
      <c r="M56" s="27"/>
      <c r="N56" s="37">
        <f>(L52-(L54+L55))/H63</f>
        <v>36.695056192517498</v>
      </c>
    </row>
    <row r="57" spans="3:15" x14ac:dyDescent="0.3">
      <c r="C57" s="1"/>
      <c r="D57" s="195" t="s">
        <v>151</v>
      </c>
      <c r="E57" s="196"/>
      <c r="F57" s="196"/>
      <c r="G57" s="196"/>
      <c r="H57" s="197"/>
      <c r="I57" s="36"/>
      <c r="J57" s="36"/>
      <c r="K57" s="39">
        <v>0</v>
      </c>
      <c r="L57" s="36"/>
      <c r="M57" s="36"/>
      <c r="N57" s="12">
        <f>(N56-40.5)*-1</f>
        <v>3.8049438074825019</v>
      </c>
    </row>
    <row r="58" spans="3:15" x14ac:dyDescent="0.3">
      <c r="C58" s="1"/>
      <c r="D58" s="195" t="s">
        <v>150</v>
      </c>
      <c r="E58" s="196"/>
      <c r="F58" s="196"/>
      <c r="G58" s="196"/>
      <c r="H58" s="197"/>
      <c r="I58" s="12"/>
      <c r="J58" s="12"/>
      <c r="K58" s="12">
        <v>0</v>
      </c>
      <c r="L58" s="12"/>
      <c r="M58" s="12"/>
      <c r="N58" s="12">
        <f>N57*H63</f>
        <v>23965.438571428538</v>
      </c>
    </row>
    <row r="59" spans="3:15" x14ac:dyDescent="0.3">
      <c r="C59" s="1"/>
      <c r="D59" s="195" t="s">
        <v>152</v>
      </c>
      <c r="E59" s="196"/>
      <c r="F59" s="196"/>
      <c r="G59" s="196"/>
      <c r="H59" s="197"/>
      <c r="I59" s="12"/>
      <c r="J59" s="12"/>
      <c r="K59" s="12">
        <v>0</v>
      </c>
      <c r="L59" s="12"/>
      <c r="M59" s="12"/>
      <c r="N59" s="12">
        <f>N58*5</f>
        <v>119827.19285714268</v>
      </c>
    </row>
    <row r="60" spans="3:15" x14ac:dyDescent="0.3">
      <c r="C60" s="1"/>
      <c r="D60" s="195" t="s">
        <v>149</v>
      </c>
      <c r="E60" s="196"/>
      <c r="F60" s="196"/>
      <c r="G60" s="196"/>
      <c r="H60" s="197"/>
      <c r="I60" s="36">
        <f>N58*5</f>
        <v>119827.19285714268</v>
      </c>
      <c r="J60" s="42" t="s">
        <v>81</v>
      </c>
      <c r="K60" s="12"/>
      <c r="L60" s="36"/>
      <c r="M60" s="36"/>
      <c r="N60" s="12"/>
    </row>
    <row r="61" spans="3:15" x14ac:dyDescent="0.3">
      <c r="C61" s="1"/>
      <c r="D61" s="195" t="s">
        <v>92</v>
      </c>
      <c r="E61" s="196"/>
      <c r="F61" s="196"/>
      <c r="G61" s="196"/>
      <c r="H61" s="197"/>
      <c r="I61" s="36">
        <v>328997.71000000002</v>
      </c>
      <c r="J61" s="42" t="s">
        <v>81</v>
      </c>
      <c r="K61" s="36"/>
      <c r="L61" s="36"/>
      <c r="M61" s="36"/>
      <c r="N61" s="36"/>
    </row>
    <row r="62" spans="3:15" x14ac:dyDescent="0.3">
      <c r="D62" s="272" t="s">
        <v>64</v>
      </c>
      <c r="E62" s="272"/>
      <c r="F62" s="273"/>
      <c r="G62" s="274"/>
      <c r="H62" s="274">
        <v>6092.6</v>
      </c>
    </row>
    <row r="63" spans="3:15" x14ac:dyDescent="0.3">
      <c r="D63" s="40" t="s">
        <v>65</v>
      </c>
      <c r="E63" s="40"/>
      <c r="F63" s="40"/>
      <c r="G63" s="40"/>
      <c r="H63">
        <v>6298.5</v>
      </c>
    </row>
    <row r="64" spans="3:15" ht="15" customHeight="1" x14ac:dyDescent="0.3">
      <c r="D64" s="40" t="s">
        <v>85</v>
      </c>
      <c r="E64" s="40"/>
      <c r="F64" s="40"/>
      <c r="G64" s="40"/>
      <c r="H64">
        <v>1826.6</v>
      </c>
    </row>
    <row r="65" spans="4:15" x14ac:dyDescent="0.3">
      <c r="D65" s="275" t="s">
        <v>77</v>
      </c>
      <c r="E65" s="275"/>
      <c r="F65" s="275"/>
      <c r="G65" s="276"/>
      <c r="H65" s="276">
        <v>205.9</v>
      </c>
    </row>
    <row r="66" spans="4:15" ht="32.4" customHeight="1" x14ac:dyDescent="0.3">
      <c r="D66" s="221" t="s">
        <v>86</v>
      </c>
      <c r="E66" s="221"/>
      <c r="F66" s="221"/>
      <c r="G66" s="221"/>
      <c r="H66">
        <v>8125.1</v>
      </c>
    </row>
    <row r="67" spans="4:15" ht="26.4" customHeight="1" x14ac:dyDescent="0.3">
      <c r="D67" s="217" t="s">
        <v>88</v>
      </c>
      <c r="E67" s="217"/>
      <c r="F67" s="217"/>
      <c r="G67" s="217"/>
      <c r="H67">
        <v>1813.6</v>
      </c>
    </row>
    <row r="68" spans="4:15" ht="31.2" customHeight="1" x14ac:dyDescent="0.3">
      <c r="D68" s="221" t="s">
        <v>87</v>
      </c>
      <c r="E68" s="221"/>
      <c r="F68" s="221"/>
      <c r="G68" s="221"/>
      <c r="H68">
        <f>H67+H63</f>
        <v>8112.1</v>
      </c>
    </row>
    <row r="69" spans="4:15" ht="14.4" customHeight="1" x14ac:dyDescent="0.3">
      <c r="D69" s="194" t="s">
        <v>143</v>
      </c>
      <c r="E69" s="194"/>
      <c r="F69" s="194"/>
      <c r="G69" s="194"/>
      <c r="H69" s="194"/>
      <c r="I69" s="45"/>
      <c r="J69" s="45"/>
      <c r="K69" s="45"/>
      <c r="L69" s="45"/>
      <c r="M69" s="45"/>
      <c r="N69" s="45"/>
      <c r="O69" s="45"/>
    </row>
    <row r="70" spans="4:15" ht="34.799999999999997" customHeight="1" x14ac:dyDescent="0.3">
      <c r="D70" s="194"/>
      <c r="E70" s="194"/>
      <c r="F70" s="194"/>
      <c r="G70" s="194"/>
      <c r="H70" s="194"/>
      <c r="I70" s="45"/>
      <c r="J70" s="45"/>
      <c r="K70" s="45"/>
      <c r="L70" s="45"/>
      <c r="M70" s="45"/>
      <c r="N70" s="45"/>
      <c r="O70" s="45"/>
    </row>
    <row r="71" spans="4:15" ht="15.6" x14ac:dyDescent="0.3">
      <c r="D71" s="3" t="s">
        <v>91</v>
      </c>
      <c r="E71" s="3"/>
      <c r="F71" s="3"/>
      <c r="G71" s="3"/>
      <c r="H71" s="46">
        <f>(I61-I60)/H63</f>
        <v>33.209576429762222</v>
      </c>
      <c r="I71" s="35"/>
      <c r="N71" s="4"/>
    </row>
    <row r="72" spans="4:15" x14ac:dyDescent="0.3">
      <c r="F72" s="35"/>
      <c r="G72" s="35"/>
      <c r="H72" s="35"/>
      <c r="I72" s="35"/>
    </row>
    <row r="73" spans="4:15" x14ac:dyDescent="0.3">
      <c r="E73" s="35"/>
      <c r="F73" s="35"/>
      <c r="G73" s="35"/>
      <c r="H73" s="35"/>
      <c r="I73" s="35"/>
    </row>
  </sheetData>
  <mergeCells count="104">
    <mergeCell ref="D1:H1"/>
    <mergeCell ref="I36:I37"/>
    <mergeCell ref="J36:J37"/>
    <mergeCell ref="K36:K37"/>
    <mergeCell ref="L36:L37"/>
    <mergeCell ref="M36:M37"/>
    <mergeCell ref="N36:N37"/>
    <mergeCell ref="D68:G68"/>
    <mergeCell ref="D66:G66"/>
    <mergeCell ref="I32:I33"/>
    <mergeCell ref="J32:J33"/>
    <mergeCell ref="K32:K33"/>
    <mergeCell ref="L32:L33"/>
    <mergeCell ref="M32:M33"/>
    <mergeCell ref="N32:N33"/>
    <mergeCell ref="I27:I28"/>
    <mergeCell ref="J27:J28"/>
    <mergeCell ref="K27:K28"/>
    <mergeCell ref="L27:L28"/>
    <mergeCell ref="M27:M28"/>
    <mergeCell ref="N27:N28"/>
    <mergeCell ref="I25:I26"/>
    <mergeCell ref="J25:J26"/>
    <mergeCell ref="K25:K26"/>
    <mergeCell ref="D67:G67"/>
    <mergeCell ref="I44:I45"/>
    <mergeCell ref="J44:J45"/>
    <mergeCell ref="K44:K45"/>
    <mergeCell ref="L44:L45"/>
    <mergeCell ref="M44:M45"/>
    <mergeCell ref="N44:N45"/>
    <mergeCell ref="I38:I39"/>
    <mergeCell ref="J38:J39"/>
    <mergeCell ref="K38:K39"/>
    <mergeCell ref="L38:L39"/>
    <mergeCell ref="M38:M39"/>
    <mergeCell ref="N38:N39"/>
    <mergeCell ref="D51:H51"/>
    <mergeCell ref="D53:H53"/>
    <mergeCell ref="D54:H54"/>
    <mergeCell ref="D55:H55"/>
    <mergeCell ref="D47:H47"/>
    <mergeCell ref="L25:L26"/>
    <mergeCell ref="M25:M26"/>
    <mergeCell ref="N25:N26"/>
    <mergeCell ref="I8:K8"/>
    <mergeCell ref="L8:N8"/>
    <mergeCell ref="I9:I10"/>
    <mergeCell ref="J9:J10"/>
    <mergeCell ref="K9:K10"/>
    <mergeCell ref="L9:L10"/>
    <mergeCell ref="M9:M10"/>
    <mergeCell ref="N9:N10"/>
    <mergeCell ref="D29:H29"/>
    <mergeCell ref="D30:H30"/>
    <mergeCell ref="D41:H41"/>
    <mergeCell ref="D42:H42"/>
    <mergeCell ref="D43:H43"/>
    <mergeCell ref="C44:C45"/>
    <mergeCell ref="D44:H45"/>
    <mergeCell ref="D46:H46"/>
    <mergeCell ref="D31:H31"/>
    <mergeCell ref="C32:C33"/>
    <mergeCell ref="C38:C39"/>
    <mergeCell ref="D38:H39"/>
    <mergeCell ref="D40:H40"/>
    <mergeCell ref="D32:H33"/>
    <mergeCell ref="D34:H34"/>
    <mergeCell ref="D35:H35"/>
    <mergeCell ref="C36:C37"/>
    <mergeCell ref="D36:H37"/>
    <mergeCell ref="D13:H13"/>
    <mergeCell ref="D14:H14"/>
    <mergeCell ref="D15:H15"/>
    <mergeCell ref="C8:C10"/>
    <mergeCell ref="D8:H8"/>
    <mergeCell ref="D9:H10"/>
    <mergeCell ref="D11:H11"/>
    <mergeCell ref="D12:H12"/>
    <mergeCell ref="D22:H22"/>
    <mergeCell ref="C27:C28"/>
    <mergeCell ref="D27:H28"/>
    <mergeCell ref="D16:H16"/>
    <mergeCell ref="D17:H17"/>
    <mergeCell ref="D18:H18"/>
    <mergeCell ref="D19:H19"/>
    <mergeCell ref="D20:H20"/>
    <mergeCell ref="D21:H21"/>
    <mergeCell ref="D69:H70"/>
    <mergeCell ref="C25:C26"/>
    <mergeCell ref="D23:H23"/>
    <mergeCell ref="D24:H24"/>
    <mergeCell ref="D25:H26"/>
    <mergeCell ref="D65:F65"/>
    <mergeCell ref="D59:H59"/>
    <mergeCell ref="D60:H60"/>
    <mergeCell ref="D61:H61"/>
    <mergeCell ref="D56:H56"/>
    <mergeCell ref="D57:H57"/>
    <mergeCell ref="D58:H58"/>
    <mergeCell ref="D48:H48"/>
    <mergeCell ref="D49:H49"/>
    <mergeCell ref="D50:H50"/>
    <mergeCell ref="D52:H52"/>
  </mergeCells>
  <pageMargins left="0.25" right="0.25" top="0.75" bottom="0.75" header="0.3" footer="0.3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5"/>
  <sheetViews>
    <sheetView topLeftCell="A43" workbookViewId="0">
      <selection sqref="A1:M65"/>
    </sheetView>
  </sheetViews>
  <sheetFormatPr defaultRowHeight="14.4" x14ac:dyDescent="0.3"/>
  <cols>
    <col min="9" max="9" width="16.33203125" customWidth="1"/>
    <col min="13" max="13" width="11" customWidth="1"/>
  </cols>
  <sheetData>
    <row r="2" spans="1:13" x14ac:dyDescent="0.3">
      <c r="A2" s="90" t="s">
        <v>135</v>
      </c>
      <c r="B2" s="90"/>
      <c r="C2" s="90"/>
      <c r="D2" s="90"/>
      <c r="E2" s="90"/>
      <c r="F2" s="90"/>
      <c r="G2" s="90"/>
      <c r="H2" s="90"/>
    </row>
    <row r="4" spans="1:13" x14ac:dyDescent="0.3">
      <c r="A4" s="8" t="s">
        <v>136</v>
      </c>
      <c r="B4" s="8"/>
      <c r="C4" s="8"/>
      <c r="D4" s="8"/>
      <c r="E4" s="8"/>
      <c r="F4" s="48"/>
      <c r="G4" s="62"/>
      <c r="H4" s="62"/>
      <c r="I4" s="62"/>
      <c r="J4" s="62"/>
      <c r="K4" s="62"/>
      <c r="L4" s="62"/>
      <c r="M4" s="62"/>
    </row>
    <row r="5" spans="1:13" x14ac:dyDescent="0.3">
      <c r="A5" s="48" t="s">
        <v>0</v>
      </c>
      <c r="B5" s="48"/>
      <c r="C5" s="48"/>
      <c r="D5" s="48"/>
      <c r="F5" s="48"/>
      <c r="G5" s="62"/>
      <c r="H5" s="62"/>
      <c r="I5" s="62"/>
      <c r="J5" s="62"/>
      <c r="K5" s="62"/>
      <c r="L5" s="62"/>
      <c r="M5" s="62"/>
    </row>
    <row r="6" spans="1:13" ht="18" x14ac:dyDescent="0.35">
      <c r="A6" s="47" t="s">
        <v>36</v>
      </c>
      <c r="B6" s="48"/>
      <c r="C6" s="48"/>
      <c r="D6" s="48"/>
      <c r="F6" s="48"/>
      <c r="G6" s="62"/>
      <c r="H6" s="62"/>
      <c r="I6" s="62"/>
      <c r="J6" s="62"/>
      <c r="K6" s="62"/>
      <c r="L6" s="62"/>
      <c r="M6" s="62"/>
    </row>
    <row r="7" spans="1:13" x14ac:dyDescent="0.3">
      <c r="A7" s="278" t="s">
        <v>157</v>
      </c>
      <c r="B7" s="48"/>
      <c r="C7" s="48"/>
      <c r="D7" s="48"/>
      <c r="F7" s="48"/>
      <c r="G7" s="62"/>
      <c r="H7" s="62"/>
      <c r="I7" s="63"/>
      <c r="J7" s="62"/>
      <c r="K7" s="62"/>
      <c r="L7" s="62"/>
      <c r="M7" s="62"/>
    </row>
    <row r="8" spans="1:13" x14ac:dyDescent="0.3">
      <c r="A8" s="62"/>
      <c r="B8" s="62"/>
      <c r="C8" s="62"/>
      <c r="D8" s="270"/>
      <c r="E8" s="270"/>
      <c r="F8" s="270"/>
      <c r="G8" s="270"/>
      <c r="H8" s="270"/>
      <c r="I8" s="270"/>
      <c r="J8" s="62"/>
      <c r="K8" s="62"/>
      <c r="L8" s="62"/>
      <c r="M8" s="62"/>
    </row>
    <row r="9" spans="1:13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4.4" customHeight="1" x14ac:dyDescent="0.3">
      <c r="A10" s="271" t="s">
        <v>137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</row>
    <row r="11" spans="1:13" ht="27.6" customHeight="1" x14ac:dyDescent="0.3">
      <c r="A11" s="229" t="s">
        <v>1</v>
      </c>
      <c r="B11" s="229" t="s">
        <v>2</v>
      </c>
      <c r="C11" s="229"/>
      <c r="D11" s="229"/>
      <c r="E11" s="229"/>
      <c r="F11" s="229"/>
      <c r="G11" s="229" t="s">
        <v>101</v>
      </c>
      <c r="H11" s="229"/>
      <c r="I11" s="229"/>
      <c r="J11" s="229" t="s">
        <v>138</v>
      </c>
      <c r="K11" s="229"/>
      <c r="L11" s="229"/>
      <c r="M11" s="229" t="s">
        <v>102</v>
      </c>
    </row>
    <row r="12" spans="1:13" x14ac:dyDescent="0.3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</row>
    <row r="13" spans="1:13" ht="14.4" customHeight="1" x14ac:dyDescent="0.3">
      <c r="A13" s="64"/>
      <c r="B13" s="229" t="s">
        <v>13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65"/>
    </row>
    <row r="14" spans="1:13" ht="14.4" customHeight="1" x14ac:dyDescent="0.3">
      <c r="A14" s="64" t="s">
        <v>8</v>
      </c>
      <c r="B14" s="229" t="s">
        <v>14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65"/>
    </row>
    <row r="15" spans="1:13" ht="16.2" customHeight="1" x14ac:dyDescent="0.3">
      <c r="A15" s="66"/>
      <c r="B15" s="267" t="s">
        <v>15</v>
      </c>
      <c r="C15" s="267"/>
      <c r="D15" s="267"/>
      <c r="E15" s="267"/>
      <c r="F15" s="267"/>
      <c r="G15" s="268">
        <v>117437.64</v>
      </c>
      <c r="H15" s="268"/>
      <c r="I15" s="268"/>
      <c r="J15" s="268">
        <f t="shared" ref="J15:J22" si="0">G15*12</f>
        <v>1409251.68</v>
      </c>
      <c r="K15" s="268"/>
      <c r="L15" s="268"/>
      <c r="M15" s="67"/>
    </row>
    <row r="16" spans="1:13" ht="14.4" customHeight="1" x14ac:dyDescent="0.3">
      <c r="A16" s="66"/>
      <c r="B16" s="267" t="s">
        <v>103</v>
      </c>
      <c r="C16" s="267"/>
      <c r="D16" s="267"/>
      <c r="E16" s="267"/>
      <c r="F16" s="267"/>
      <c r="G16" s="268">
        <v>22000</v>
      </c>
      <c r="H16" s="268"/>
      <c r="I16" s="268"/>
      <c r="J16" s="268">
        <f t="shared" si="0"/>
        <v>264000</v>
      </c>
      <c r="K16" s="268"/>
      <c r="L16" s="268"/>
      <c r="M16" s="67"/>
    </row>
    <row r="17" spans="1:13" ht="14.4" customHeight="1" x14ac:dyDescent="0.3">
      <c r="A17" s="66"/>
      <c r="B17" s="267" t="s">
        <v>17</v>
      </c>
      <c r="C17" s="267"/>
      <c r="D17" s="267"/>
      <c r="E17" s="267"/>
      <c r="F17" s="267"/>
      <c r="G17" s="268">
        <v>14250</v>
      </c>
      <c r="H17" s="268"/>
      <c r="I17" s="268"/>
      <c r="J17" s="268">
        <f t="shared" si="0"/>
        <v>171000</v>
      </c>
      <c r="K17" s="268"/>
      <c r="L17" s="268"/>
      <c r="M17" s="67"/>
    </row>
    <row r="18" spans="1:13" ht="14.4" customHeight="1" x14ac:dyDescent="0.3">
      <c r="A18" s="64"/>
      <c r="B18" s="236" t="s">
        <v>104</v>
      </c>
      <c r="C18" s="236"/>
      <c r="D18" s="236"/>
      <c r="E18" s="236"/>
      <c r="F18" s="236"/>
      <c r="G18" s="239">
        <v>300</v>
      </c>
      <c r="H18" s="239"/>
      <c r="I18" s="239"/>
      <c r="J18" s="239">
        <f t="shared" si="0"/>
        <v>3600</v>
      </c>
      <c r="K18" s="239"/>
      <c r="L18" s="239"/>
      <c r="M18" s="65"/>
    </row>
    <row r="19" spans="1:13" ht="14.4" customHeight="1" x14ac:dyDescent="0.3">
      <c r="A19" s="64"/>
      <c r="B19" s="236" t="s">
        <v>41</v>
      </c>
      <c r="C19" s="236"/>
      <c r="D19" s="236"/>
      <c r="E19" s="236"/>
      <c r="F19" s="236"/>
      <c r="G19" s="239">
        <v>2000</v>
      </c>
      <c r="H19" s="239"/>
      <c r="I19" s="239"/>
      <c r="J19" s="239">
        <f t="shared" si="0"/>
        <v>24000</v>
      </c>
      <c r="K19" s="239"/>
      <c r="L19" s="239"/>
      <c r="M19" s="65"/>
    </row>
    <row r="20" spans="1:13" ht="14.4" customHeight="1" x14ac:dyDescent="0.3">
      <c r="A20" s="64"/>
      <c r="B20" s="236" t="s">
        <v>19</v>
      </c>
      <c r="C20" s="236"/>
      <c r="D20" s="236"/>
      <c r="E20" s="236"/>
      <c r="F20" s="236"/>
      <c r="G20" s="239">
        <v>300</v>
      </c>
      <c r="H20" s="239"/>
      <c r="I20" s="239"/>
      <c r="J20" s="239">
        <f t="shared" si="0"/>
        <v>3600</v>
      </c>
      <c r="K20" s="239"/>
      <c r="L20" s="239"/>
      <c r="M20" s="65"/>
    </row>
    <row r="21" spans="1:13" ht="14.4" customHeight="1" x14ac:dyDescent="0.3">
      <c r="A21" s="64"/>
      <c r="B21" s="236" t="s">
        <v>105</v>
      </c>
      <c r="C21" s="236"/>
      <c r="D21" s="236"/>
      <c r="E21" s="236"/>
      <c r="F21" s="236"/>
      <c r="G21" s="239">
        <v>300</v>
      </c>
      <c r="H21" s="239"/>
      <c r="I21" s="239"/>
      <c r="J21" s="239">
        <f t="shared" si="0"/>
        <v>3600</v>
      </c>
      <c r="K21" s="239"/>
      <c r="L21" s="239"/>
      <c r="M21" s="65"/>
    </row>
    <row r="22" spans="1:13" x14ac:dyDescent="0.3">
      <c r="A22" s="64"/>
      <c r="B22" s="236" t="s">
        <v>44</v>
      </c>
      <c r="C22" s="236"/>
      <c r="D22" s="236"/>
      <c r="E22" s="236"/>
      <c r="F22" s="236"/>
      <c r="G22" s="239">
        <v>6666</v>
      </c>
      <c r="H22" s="239"/>
      <c r="I22" s="239"/>
      <c r="J22" s="239">
        <f t="shared" si="0"/>
        <v>79992</v>
      </c>
      <c r="K22" s="239"/>
      <c r="L22" s="239"/>
      <c r="M22" s="65"/>
    </row>
    <row r="23" spans="1:13" ht="14.4" customHeight="1" x14ac:dyDescent="0.3">
      <c r="A23" s="64"/>
      <c r="B23" s="236" t="s">
        <v>20</v>
      </c>
      <c r="C23" s="236"/>
      <c r="D23" s="236"/>
      <c r="E23" s="236"/>
      <c r="F23" s="236"/>
      <c r="G23" s="238">
        <f>SUM(G15:I22)</f>
        <v>163253.64000000001</v>
      </c>
      <c r="H23" s="238"/>
      <c r="I23" s="238"/>
      <c r="J23" s="238">
        <f>J15+J16+J17+J18+J19+J20+J21+J22</f>
        <v>1959043.68</v>
      </c>
      <c r="K23" s="238"/>
      <c r="L23" s="238"/>
      <c r="M23" s="68">
        <f>G23/D62</f>
        <v>25.919447487497024</v>
      </c>
    </row>
    <row r="24" spans="1:13" ht="15.6" customHeight="1" x14ac:dyDescent="0.3">
      <c r="A24" s="64" t="s">
        <v>10</v>
      </c>
      <c r="B24" s="229" t="s">
        <v>21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65"/>
    </row>
    <row r="25" spans="1:13" ht="14.4" customHeight="1" x14ac:dyDescent="0.3">
      <c r="A25" s="266"/>
      <c r="B25" s="267" t="s">
        <v>106</v>
      </c>
      <c r="C25" s="267"/>
      <c r="D25" s="267"/>
      <c r="E25" s="267"/>
      <c r="F25" s="267"/>
      <c r="G25" s="268">
        <v>167761.53</v>
      </c>
      <c r="H25" s="268"/>
      <c r="I25" s="268"/>
      <c r="J25" s="268">
        <f>G25*12</f>
        <v>2013138.3599999999</v>
      </c>
      <c r="K25" s="268"/>
      <c r="L25" s="268"/>
      <c r="M25" s="269"/>
    </row>
    <row r="26" spans="1:13" ht="40.200000000000003" customHeight="1" x14ac:dyDescent="0.3">
      <c r="A26" s="266"/>
      <c r="B26" s="267"/>
      <c r="C26" s="267"/>
      <c r="D26" s="267"/>
      <c r="E26" s="267"/>
      <c r="F26" s="267"/>
      <c r="G26" s="268"/>
      <c r="H26" s="268"/>
      <c r="I26" s="268"/>
      <c r="J26" s="268"/>
      <c r="K26" s="268"/>
      <c r="L26" s="268"/>
      <c r="M26" s="269"/>
    </row>
    <row r="27" spans="1:13" ht="36" customHeight="1" x14ac:dyDescent="0.3">
      <c r="A27" s="64"/>
      <c r="B27" s="236" t="s">
        <v>107</v>
      </c>
      <c r="C27" s="236"/>
      <c r="D27" s="236"/>
      <c r="E27" s="236"/>
      <c r="F27" s="236"/>
      <c r="G27" s="239">
        <v>3000</v>
      </c>
      <c r="H27" s="239"/>
      <c r="I27" s="239"/>
      <c r="J27" s="239">
        <f>G27*12</f>
        <v>36000</v>
      </c>
      <c r="K27" s="239"/>
      <c r="L27" s="239"/>
      <c r="M27" s="65"/>
    </row>
    <row r="28" spans="1:13" ht="14.4" customHeight="1" x14ac:dyDescent="0.3">
      <c r="A28" s="64"/>
      <c r="B28" s="236" t="s">
        <v>23</v>
      </c>
      <c r="C28" s="236"/>
      <c r="D28" s="236"/>
      <c r="E28" s="236"/>
      <c r="F28" s="236"/>
      <c r="G28" s="239">
        <v>417</v>
      </c>
      <c r="H28" s="239"/>
      <c r="I28" s="239"/>
      <c r="J28" s="239">
        <f>G28*12</f>
        <v>5004</v>
      </c>
      <c r="K28" s="239"/>
      <c r="L28" s="239"/>
      <c r="M28" s="65"/>
    </row>
    <row r="29" spans="1:13" ht="14.4" customHeight="1" x14ac:dyDescent="0.3">
      <c r="A29" s="64"/>
      <c r="B29" s="236" t="s">
        <v>24</v>
      </c>
      <c r="C29" s="236"/>
      <c r="D29" s="236"/>
      <c r="E29" s="236"/>
      <c r="F29" s="236"/>
      <c r="G29" s="239">
        <v>8850</v>
      </c>
      <c r="H29" s="239"/>
      <c r="I29" s="239"/>
      <c r="J29" s="239">
        <f>G29*12</f>
        <v>106200</v>
      </c>
      <c r="K29" s="239"/>
      <c r="L29" s="239"/>
      <c r="M29" s="65"/>
    </row>
    <row r="30" spans="1:13" ht="14.4" customHeight="1" x14ac:dyDescent="0.3">
      <c r="A30" s="64"/>
      <c r="B30" s="236" t="s">
        <v>25</v>
      </c>
      <c r="C30" s="236"/>
      <c r="D30" s="236"/>
      <c r="E30" s="236"/>
      <c r="F30" s="236"/>
      <c r="G30" s="239">
        <v>1000</v>
      </c>
      <c r="H30" s="239"/>
      <c r="I30" s="239"/>
      <c r="J30" s="239">
        <f>G30*12</f>
        <v>12000</v>
      </c>
      <c r="K30" s="239"/>
      <c r="L30" s="239"/>
      <c r="M30" s="65"/>
    </row>
    <row r="31" spans="1:13" ht="14.4" customHeight="1" x14ac:dyDescent="0.3">
      <c r="A31" s="229"/>
      <c r="B31" s="236" t="s">
        <v>26</v>
      </c>
      <c r="C31" s="236"/>
      <c r="D31" s="236"/>
      <c r="E31" s="236"/>
      <c r="F31" s="236"/>
      <c r="G31" s="239">
        <v>1000</v>
      </c>
      <c r="H31" s="239"/>
      <c r="I31" s="239"/>
      <c r="J31" s="239">
        <f>G31*12</f>
        <v>12000</v>
      </c>
      <c r="K31" s="239"/>
      <c r="L31" s="239"/>
      <c r="M31" s="240"/>
    </row>
    <row r="32" spans="1:13" x14ac:dyDescent="0.3">
      <c r="A32" s="229"/>
      <c r="B32" s="236"/>
      <c r="C32" s="236"/>
      <c r="D32" s="236"/>
      <c r="E32" s="236"/>
      <c r="F32" s="236"/>
      <c r="G32" s="239"/>
      <c r="H32" s="239"/>
      <c r="I32" s="239"/>
      <c r="J32" s="239"/>
      <c r="K32" s="239"/>
      <c r="L32" s="239"/>
      <c r="M32" s="240"/>
    </row>
    <row r="33" spans="1:13" ht="14.4" customHeight="1" x14ac:dyDescent="0.3">
      <c r="A33" s="64"/>
      <c r="B33" s="236" t="s">
        <v>108</v>
      </c>
      <c r="C33" s="236"/>
      <c r="D33" s="236"/>
      <c r="E33" s="236"/>
      <c r="F33" s="236"/>
      <c r="G33" s="239">
        <v>16200</v>
      </c>
      <c r="H33" s="239"/>
      <c r="I33" s="239"/>
      <c r="J33" s="239">
        <f>G33*12</f>
        <v>194400</v>
      </c>
      <c r="K33" s="239"/>
      <c r="L33" s="239"/>
      <c r="M33" s="65"/>
    </row>
    <row r="34" spans="1:13" ht="14.4" customHeight="1" x14ac:dyDescent="0.3">
      <c r="A34" s="254"/>
      <c r="B34" s="256" t="s">
        <v>29</v>
      </c>
      <c r="C34" s="257"/>
      <c r="D34" s="257"/>
      <c r="E34" s="257"/>
      <c r="F34" s="258"/>
      <c r="G34" s="91">
        <v>7000</v>
      </c>
      <c r="H34" s="262"/>
      <c r="I34" s="92"/>
      <c r="J34" s="91">
        <f>G34*12</f>
        <v>84000</v>
      </c>
      <c r="K34" s="262"/>
      <c r="L34" s="92"/>
      <c r="M34" s="264"/>
    </row>
    <row r="35" spans="1:13" x14ac:dyDescent="0.3">
      <c r="A35" s="255"/>
      <c r="B35" s="259"/>
      <c r="C35" s="260"/>
      <c r="D35" s="260"/>
      <c r="E35" s="260"/>
      <c r="F35" s="261"/>
      <c r="G35" s="93"/>
      <c r="H35" s="263"/>
      <c r="I35" s="94"/>
      <c r="J35" s="93"/>
      <c r="K35" s="263"/>
      <c r="L35" s="94"/>
      <c r="M35" s="265"/>
    </row>
    <row r="36" spans="1:13" ht="14.4" customHeight="1" x14ac:dyDescent="0.3">
      <c r="A36" s="66"/>
      <c r="B36" s="248" t="s">
        <v>109</v>
      </c>
      <c r="C36" s="249"/>
      <c r="D36" s="249"/>
      <c r="E36" s="249"/>
      <c r="F36" s="250"/>
      <c r="G36" s="251">
        <v>2583</v>
      </c>
      <c r="H36" s="252"/>
      <c r="I36" s="253"/>
      <c r="J36" s="251">
        <f t="shared" ref="J36:J43" si="1">G36*12</f>
        <v>30996</v>
      </c>
      <c r="K36" s="252"/>
      <c r="L36" s="253"/>
      <c r="M36" s="67"/>
    </row>
    <row r="37" spans="1:13" ht="32.4" customHeight="1" x14ac:dyDescent="0.3">
      <c r="A37" s="66"/>
      <c r="B37" s="248" t="s">
        <v>110</v>
      </c>
      <c r="C37" s="249"/>
      <c r="D37" s="249"/>
      <c r="E37" s="249"/>
      <c r="F37" s="250"/>
      <c r="G37" s="251">
        <v>541</v>
      </c>
      <c r="H37" s="252"/>
      <c r="I37" s="253"/>
      <c r="J37" s="251">
        <f t="shared" si="1"/>
        <v>6492</v>
      </c>
      <c r="K37" s="252"/>
      <c r="L37" s="253"/>
      <c r="M37" s="67"/>
    </row>
    <row r="38" spans="1:13" ht="28.8" customHeight="1" x14ac:dyDescent="0.3">
      <c r="A38" s="66"/>
      <c r="B38" s="248" t="s">
        <v>111</v>
      </c>
      <c r="C38" s="249"/>
      <c r="D38" s="249"/>
      <c r="E38" s="249"/>
      <c r="F38" s="250"/>
      <c r="G38" s="251">
        <v>600</v>
      </c>
      <c r="H38" s="252"/>
      <c r="I38" s="253"/>
      <c r="J38" s="251">
        <f t="shared" si="1"/>
        <v>7200</v>
      </c>
      <c r="K38" s="252"/>
      <c r="L38" s="253"/>
      <c r="M38" s="67"/>
    </row>
    <row r="39" spans="1:13" ht="14.4" customHeight="1" x14ac:dyDescent="0.3">
      <c r="A39" s="66"/>
      <c r="B39" s="248" t="s">
        <v>112</v>
      </c>
      <c r="C39" s="249"/>
      <c r="D39" s="249"/>
      <c r="E39" s="249"/>
      <c r="F39" s="250"/>
      <c r="G39" s="251">
        <v>1350</v>
      </c>
      <c r="H39" s="252"/>
      <c r="I39" s="253"/>
      <c r="J39" s="251">
        <f t="shared" si="1"/>
        <v>16200</v>
      </c>
      <c r="K39" s="252"/>
      <c r="L39" s="253"/>
      <c r="M39" s="67"/>
    </row>
    <row r="40" spans="1:13" ht="19.2" customHeight="1" x14ac:dyDescent="0.3">
      <c r="A40" s="69"/>
      <c r="B40" s="244" t="s">
        <v>39</v>
      </c>
      <c r="C40" s="245"/>
      <c r="D40" s="245"/>
      <c r="E40" s="245"/>
      <c r="F40" s="246"/>
      <c r="G40" s="110">
        <v>2000</v>
      </c>
      <c r="H40" s="247"/>
      <c r="I40" s="111"/>
      <c r="J40" s="110">
        <f t="shared" si="1"/>
        <v>24000</v>
      </c>
      <c r="K40" s="247"/>
      <c r="L40" s="111"/>
      <c r="M40" s="65"/>
    </row>
    <row r="41" spans="1:13" ht="31.2" customHeight="1" x14ac:dyDescent="0.3">
      <c r="A41" s="69"/>
      <c r="B41" s="244" t="s">
        <v>113</v>
      </c>
      <c r="C41" s="245"/>
      <c r="D41" s="245"/>
      <c r="E41" s="245"/>
      <c r="F41" s="246"/>
      <c r="G41" s="110">
        <v>4290</v>
      </c>
      <c r="H41" s="247"/>
      <c r="I41" s="111"/>
      <c r="J41" s="110">
        <f t="shared" si="1"/>
        <v>51480</v>
      </c>
      <c r="K41" s="247"/>
      <c r="L41" s="111"/>
      <c r="M41" s="65"/>
    </row>
    <row r="42" spans="1:13" ht="23.4" customHeight="1" x14ac:dyDescent="0.3">
      <c r="A42" s="69"/>
      <c r="B42" s="244" t="s">
        <v>114</v>
      </c>
      <c r="C42" s="245"/>
      <c r="D42" s="245"/>
      <c r="E42" s="245"/>
      <c r="F42" s="246"/>
      <c r="G42" s="110">
        <v>125</v>
      </c>
      <c r="H42" s="247"/>
      <c r="I42" s="111"/>
      <c r="J42" s="110">
        <f t="shared" si="1"/>
        <v>1500</v>
      </c>
      <c r="K42" s="247"/>
      <c r="L42" s="111"/>
      <c r="M42" s="65"/>
    </row>
    <row r="43" spans="1:13" ht="14.4" customHeight="1" x14ac:dyDescent="0.3">
      <c r="A43" s="69"/>
      <c r="B43" s="244" t="s">
        <v>115</v>
      </c>
      <c r="C43" s="245"/>
      <c r="D43" s="245"/>
      <c r="E43" s="245"/>
      <c r="F43" s="246"/>
      <c r="G43" s="110">
        <v>600</v>
      </c>
      <c r="H43" s="247"/>
      <c r="I43" s="111"/>
      <c r="J43" s="110">
        <f t="shared" si="1"/>
        <v>7200</v>
      </c>
      <c r="K43" s="247"/>
      <c r="L43" s="111"/>
      <c r="M43" s="65"/>
    </row>
    <row r="44" spans="1:13" ht="14.4" customHeight="1" x14ac:dyDescent="0.3">
      <c r="A44" s="64"/>
      <c r="B44" s="229" t="s">
        <v>116</v>
      </c>
      <c r="C44" s="229"/>
      <c r="D44" s="229"/>
      <c r="E44" s="229"/>
      <c r="F44" s="229"/>
      <c r="G44" s="238">
        <f>G25+G27+G28+G29+G30+G31+G33+G37+G34+G40+G36+G38+G39+G43+G42</f>
        <v>213027.53</v>
      </c>
      <c r="H44" s="238"/>
      <c r="I44" s="238"/>
      <c r="J44" s="238">
        <f>J25+J27+J28+J29+J30+J31+J33+J34+J40+J38+J36+J37+J42+J39+J43+J41</f>
        <v>2607810.36</v>
      </c>
      <c r="K44" s="238"/>
      <c r="L44" s="238"/>
      <c r="M44" s="68">
        <f>(G44-G57)/D62</f>
        <v>10.516461062157655</v>
      </c>
    </row>
    <row r="45" spans="1:13" ht="14.4" customHeight="1" x14ac:dyDescent="0.3">
      <c r="A45" s="64" t="s">
        <v>11</v>
      </c>
      <c r="B45" s="236" t="s">
        <v>31</v>
      </c>
      <c r="C45" s="236"/>
      <c r="D45" s="236"/>
      <c r="E45" s="236"/>
      <c r="F45" s="236"/>
      <c r="G45" s="229"/>
      <c r="H45" s="229"/>
      <c r="I45" s="229"/>
      <c r="J45" s="229"/>
      <c r="K45" s="229"/>
      <c r="L45" s="229"/>
      <c r="M45" s="65"/>
    </row>
    <row r="46" spans="1:13" ht="14.4" customHeight="1" x14ac:dyDescent="0.3">
      <c r="A46" s="64"/>
      <c r="B46" s="236" t="s">
        <v>32</v>
      </c>
      <c r="C46" s="236"/>
      <c r="D46" s="236"/>
      <c r="E46" s="236"/>
      <c r="F46" s="236"/>
      <c r="G46" s="239">
        <v>1800</v>
      </c>
      <c r="H46" s="239"/>
      <c r="I46" s="239"/>
      <c r="J46" s="239">
        <f>G46*12</f>
        <v>21600</v>
      </c>
      <c r="K46" s="239"/>
      <c r="L46" s="239"/>
      <c r="M46" s="65"/>
    </row>
    <row r="47" spans="1:13" ht="14.4" customHeight="1" x14ac:dyDescent="0.3">
      <c r="A47" s="229"/>
      <c r="B47" s="236" t="s">
        <v>33</v>
      </c>
      <c r="C47" s="236"/>
      <c r="D47" s="236"/>
      <c r="E47" s="236"/>
      <c r="F47" s="236"/>
      <c r="G47" s="239">
        <v>200</v>
      </c>
      <c r="H47" s="239"/>
      <c r="I47" s="239"/>
      <c r="J47" s="239">
        <f>G47*12</f>
        <v>2400</v>
      </c>
      <c r="K47" s="239"/>
      <c r="L47" s="239"/>
      <c r="M47" s="240"/>
    </row>
    <row r="48" spans="1:13" x14ac:dyDescent="0.3">
      <c r="A48" s="229"/>
      <c r="B48" s="236"/>
      <c r="C48" s="236"/>
      <c r="D48" s="236"/>
      <c r="E48" s="236"/>
      <c r="F48" s="236"/>
      <c r="G48" s="239"/>
      <c r="H48" s="239"/>
      <c r="I48" s="239"/>
      <c r="J48" s="239"/>
      <c r="K48" s="239"/>
      <c r="L48" s="239"/>
      <c r="M48" s="240"/>
    </row>
    <row r="49" spans="1:13" ht="14.4" customHeight="1" x14ac:dyDescent="0.3">
      <c r="A49" s="70"/>
      <c r="B49" s="241" t="s">
        <v>117</v>
      </c>
      <c r="C49" s="241"/>
      <c r="D49" s="241"/>
      <c r="E49" s="241"/>
      <c r="F49" s="241"/>
      <c r="G49" s="242">
        <v>15000</v>
      </c>
      <c r="H49" s="242"/>
      <c r="I49" s="242"/>
      <c r="J49" s="242">
        <f>G49*12</f>
        <v>180000</v>
      </c>
      <c r="K49" s="242"/>
      <c r="L49" s="242"/>
      <c r="M49" s="71"/>
    </row>
    <row r="50" spans="1:13" ht="14.4" customHeight="1" x14ac:dyDescent="0.3">
      <c r="A50" s="70"/>
      <c r="B50" s="243" t="s">
        <v>118</v>
      </c>
      <c r="C50" s="243"/>
      <c r="D50" s="243"/>
      <c r="E50" s="243"/>
      <c r="F50" s="243"/>
      <c r="G50" s="242">
        <v>17000</v>
      </c>
      <c r="H50" s="242"/>
      <c r="I50" s="242"/>
      <c r="J50" s="242">
        <f>G50*12</f>
        <v>204000</v>
      </c>
      <c r="K50" s="242"/>
      <c r="L50" s="242"/>
      <c r="M50" s="71"/>
    </row>
    <row r="51" spans="1:13" ht="14.4" customHeight="1" x14ac:dyDescent="0.3">
      <c r="A51" s="64"/>
      <c r="B51" s="236" t="s">
        <v>40</v>
      </c>
      <c r="C51" s="236"/>
      <c r="D51" s="236"/>
      <c r="E51" s="236"/>
      <c r="F51" s="236"/>
      <c r="G51" s="239">
        <v>1000</v>
      </c>
      <c r="H51" s="239"/>
      <c r="I51" s="239"/>
      <c r="J51" s="239">
        <f>G51*12</f>
        <v>12000</v>
      </c>
      <c r="K51" s="239"/>
      <c r="L51" s="239"/>
      <c r="M51" s="65"/>
    </row>
    <row r="52" spans="1:13" ht="14.4" customHeight="1" x14ac:dyDescent="0.3">
      <c r="A52" s="78"/>
      <c r="B52" s="236" t="s">
        <v>34</v>
      </c>
      <c r="C52" s="236"/>
      <c r="D52" s="236"/>
      <c r="E52" s="236"/>
      <c r="F52" s="236"/>
      <c r="G52" s="239">
        <v>3000</v>
      </c>
      <c r="H52" s="239"/>
      <c r="I52" s="239"/>
      <c r="J52" s="239">
        <f>G52*12</f>
        <v>36000</v>
      </c>
      <c r="K52" s="239"/>
      <c r="L52" s="239"/>
      <c r="M52" s="79"/>
    </row>
    <row r="53" spans="1:13" ht="14.4" customHeight="1" x14ac:dyDescent="0.3">
      <c r="A53" s="64"/>
      <c r="B53" s="236" t="s">
        <v>45</v>
      </c>
      <c r="C53" s="236"/>
      <c r="D53" s="236"/>
      <c r="E53" s="236"/>
      <c r="F53" s="236"/>
      <c r="G53" s="239">
        <v>6000</v>
      </c>
      <c r="H53" s="239"/>
      <c r="I53" s="239"/>
      <c r="J53" s="239">
        <f>G53*12</f>
        <v>72000</v>
      </c>
      <c r="K53" s="239"/>
      <c r="L53" s="239"/>
      <c r="M53" s="65"/>
    </row>
    <row r="54" spans="1:13" ht="14.4" customHeight="1" x14ac:dyDescent="0.3">
      <c r="A54" s="64"/>
      <c r="B54" s="229" t="s">
        <v>119</v>
      </c>
      <c r="C54" s="229"/>
      <c r="D54" s="229"/>
      <c r="E54" s="229"/>
      <c r="F54" s="229"/>
      <c r="G54" s="238">
        <f>G46+G47+G49+G50+G51+G53+G52</f>
        <v>44000</v>
      </c>
      <c r="H54" s="238"/>
      <c r="I54" s="238"/>
      <c r="J54" s="238">
        <f>J46+J47+J49+J50+J51+J53+J52</f>
        <v>528000</v>
      </c>
      <c r="K54" s="238"/>
      <c r="L54" s="238"/>
      <c r="M54" s="68">
        <f>G54/D62</f>
        <v>6.9857902675240133</v>
      </c>
    </row>
    <row r="55" spans="1:13" ht="30" customHeight="1" x14ac:dyDescent="0.3">
      <c r="A55" s="64" t="s">
        <v>120</v>
      </c>
      <c r="B55" s="229" t="s">
        <v>121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65"/>
    </row>
    <row r="56" spans="1:13" ht="27.6" customHeight="1" x14ac:dyDescent="0.3">
      <c r="A56" s="64"/>
      <c r="B56" s="231" t="s">
        <v>122</v>
      </c>
      <c r="C56" s="232"/>
      <c r="D56" s="232"/>
      <c r="E56" s="232"/>
      <c r="F56" s="233"/>
      <c r="G56" s="105">
        <v>12225</v>
      </c>
      <c r="H56" s="234"/>
      <c r="I56" s="106"/>
      <c r="J56" s="235">
        <f>G56*12</f>
        <v>146700</v>
      </c>
      <c r="K56" s="234"/>
      <c r="L56" s="106"/>
      <c r="M56" s="65">
        <f>G56*12</f>
        <v>146700</v>
      </c>
    </row>
    <row r="57" spans="1:13" x14ac:dyDescent="0.3">
      <c r="A57" s="64"/>
      <c r="B57" s="236" t="s">
        <v>123</v>
      </c>
      <c r="C57" s="236"/>
      <c r="D57" s="236"/>
      <c r="E57" s="236"/>
      <c r="F57" s="236"/>
      <c r="G57" s="237">
        <f>J64</f>
        <v>146789.6</v>
      </c>
      <c r="H57" s="237"/>
      <c r="I57" s="237"/>
      <c r="J57" s="229">
        <f>G57*12</f>
        <v>1761475.2000000002</v>
      </c>
      <c r="K57" s="229"/>
      <c r="L57" s="229"/>
      <c r="M57" s="65"/>
    </row>
    <row r="58" spans="1:13" x14ac:dyDescent="0.3">
      <c r="A58" s="64" t="s">
        <v>124</v>
      </c>
      <c r="B58" s="229"/>
      <c r="C58" s="229"/>
      <c r="D58" s="229"/>
      <c r="E58" s="229"/>
      <c r="F58" s="229"/>
      <c r="G58" s="154">
        <f>(G54+G44+G23)-(G57+G56)</f>
        <v>261266.57000000004</v>
      </c>
      <c r="H58" s="229"/>
      <c r="I58" s="229"/>
      <c r="J58" s="154">
        <f>J54+J44+J23-J57</f>
        <v>3333378.84</v>
      </c>
      <c r="K58" s="229"/>
      <c r="L58" s="229"/>
      <c r="M58" s="65">
        <f>G58/D62</f>
        <v>41.480760498531403</v>
      </c>
    </row>
    <row r="59" spans="1:13" ht="14.4" customHeight="1" x14ac:dyDescent="0.3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</row>
    <row r="60" spans="1:13" ht="14.4" customHeight="1" x14ac:dyDescent="0.3">
      <c r="A60" s="222" t="s">
        <v>140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72">
        <f>G58/D62</f>
        <v>41.480760498531403</v>
      </c>
    </row>
    <row r="61" spans="1:13" x14ac:dyDescent="0.3">
      <c r="A61" s="222" t="s">
        <v>125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72">
        <v>36</v>
      </c>
    </row>
    <row r="62" spans="1:13" ht="57" customHeight="1" x14ac:dyDescent="0.3">
      <c r="A62" s="226" t="s">
        <v>156</v>
      </c>
      <c r="B62" s="226"/>
      <c r="C62" s="75" t="s">
        <v>126</v>
      </c>
      <c r="D62" s="76">
        <v>6298.5</v>
      </c>
      <c r="E62" s="277"/>
      <c r="F62" s="75" t="s">
        <v>127</v>
      </c>
      <c r="G62" s="76">
        <v>1813.6</v>
      </c>
      <c r="H62" s="227" t="s">
        <v>128</v>
      </c>
      <c r="I62" s="227"/>
      <c r="J62" s="228">
        <f>36*G62</f>
        <v>65289.599999999999</v>
      </c>
      <c r="K62" s="228"/>
      <c r="L62" s="77"/>
      <c r="M62" s="77"/>
    </row>
    <row r="63" spans="1:13" ht="46.8" customHeight="1" x14ac:dyDescent="0.3">
      <c r="A63" s="222" t="s">
        <v>155</v>
      </c>
      <c r="B63" s="222"/>
      <c r="C63" s="222"/>
      <c r="D63" s="222"/>
      <c r="E63" s="222"/>
      <c r="F63" s="222"/>
      <c r="G63" s="73"/>
      <c r="H63" s="222" t="s">
        <v>129</v>
      </c>
      <c r="I63" s="222"/>
      <c r="J63" s="223">
        <v>72500</v>
      </c>
      <c r="K63" s="223"/>
      <c r="L63" s="73"/>
      <c r="M63" s="73"/>
    </row>
    <row r="64" spans="1:13" ht="45" customHeight="1" x14ac:dyDescent="0.3">
      <c r="A64" s="222" t="s">
        <v>133</v>
      </c>
      <c r="B64" s="222"/>
      <c r="C64" s="222"/>
      <c r="D64" s="222"/>
      <c r="E64" s="222"/>
      <c r="F64" s="222"/>
      <c r="G64" s="73"/>
      <c r="H64" s="222" t="s">
        <v>130</v>
      </c>
      <c r="I64" s="222"/>
      <c r="J64" s="223">
        <f>J62+J63+J65</f>
        <v>146789.6</v>
      </c>
      <c r="K64" s="223"/>
      <c r="L64" s="73"/>
      <c r="M64" s="73"/>
    </row>
    <row r="65" spans="1:13" x14ac:dyDescent="0.3">
      <c r="A65" s="222" t="s">
        <v>131</v>
      </c>
      <c r="B65" s="222"/>
      <c r="C65" s="222"/>
      <c r="D65" s="222"/>
      <c r="E65" s="222"/>
      <c r="F65" s="222"/>
      <c r="G65" s="74"/>
      <c r="H65" s="224" t="s">
        <v>132</v>
      </c>
      <c r="I65" s="224"/>
      <c r="J65" s="225">
        <v>9000</v>
      </c>
      <c r="K65" s="225"/>
      <c r="L65" s="74"/>
      <c r="M65" s="74"/>
    </row>
  </sheetData>
  <mergeCells count="157">
    <mergeCell ref="J11:L12"/>
    <mergeCell ref="M11:M12"/>
    <mergeCell ref="B13:F13"/>
    <mergeCell ref="G13:I13"/>
    <mergeCell ref="J13:L13"/>
    <mergeCell ref="B14:F14"/>
    <mergeCell ref="G14:I14"/>
    <mergeCell ref="J14:L14"/>
    <mergeCell ref="D8:I8"/>
    <mergeCell ref="A10:M10"/>
    <mergeCell ref="A11:A12"/>
    <mergeCell ref="B11:F12"/>
    <mergeCell ref="G11:I12"/>
    <mergeCell ref="B17:F17"/>
    <mergeCell ref="G17:I17"/>
    <mergeCell ref="J17:L17"/>
    <mergeCell ref="B18:F18"/>
    <mergeCell ref="G18:I18"/>
    <mergeCell ref="J18:L18"/>
    <mergeCell ref="B15:F15"/>
    <mergeCell ref="G15:I15"/>
    <mergeCell ref="J15:L15"/>
    <mergeCell ref="B16:F16"/>
    <mergeCell ref="G16:I16"/>
    <mergeCell ref="J16:L16"/>
    <mergeCell ref="B21:F21"/>
    <mergeCell ref="G21:I21"/>
    <mergeCell ref="J21:L21"/>
    <mergeCell ref="B22:F22"/>
    <mergeCell ref="G22:I22"/>
    <mergeCell ref="J22:L22"/>
    <mergeCell ref="B19:F19"/>
    <mergeCell ref="G19:I19"/>
    <mergeCell ref="J19:L19"/>
    <mergeCell ref="B20:F20"/>
    <mergeCell ref="G20:I20"/>
    <mergeCell ref="J20:L20"/>
    <mergeCell ref="A25:A26"/>
    <mergeCell ref="B25:F26"/>
    <mergeCell ref="G25:I26"/>
    <mergeCell ref="J25:L26"/>
    <mergeCell ref="M25:M26"/>
    <mergeCell ref="B27:F27"/>
    <mergeCell ref="G27:I27"/>
    <mergeCell ref="J27:L27"/>
    <mergeCell ref="B23:F23"/>
    <mergeCell ref="G23:I23"/>
    <mergeCell ref="J23:L23"/>
    <mergeCell ref="B24:F24"/>
    <mergeCell ref="G24:I24"/>
    <mergeCell ref="J24:L24"/>
    <mergeCell ref="B30:F30"/>
    <mergeCell ref="G30:I30"/>
    <mergeCell ref="J30:L30"/>
    <mergeCell ref="A31:A32"/>
    <mergeCell ref="B31:F32"/>
    <mergeCell ref="G31:I32"/>
    <mergeCell ref="J31:L32"/>
    <mergeCell ref="B28:F28"/>
    <mergeCell ref="G28:I28"/>
    <mergeCell ref="J28:L28"/>
    <mergeCell ref="B29:F29"/>
    <mergeCell ref="G29:I29"/>
    <mergeCell ref="J29:L29"/>
    <mergeCell ref="M31:M32"/>
    <mergeCell ref="B33:F33"/>
    <mergeCell ref="G33:I33"/>
    <mergeCell ref="J33:L33"/>
    <mergeCell ref="A34:A35"/>
    <mergeCell ref="B34:F35"/>
    <mergeCell ref="G34:I35"/>
    <mergeCell ref="J34:L35"/>
    <mergeCell ref="M34:M35"/>
    <mergeCell ref="B38:F38"/>
    <mergeCell ref="G38:I38"/>
    <mergeCell ref="J38:L38"/>
    <mergeCell ref="B39:F39"/>
    <mergeCell ref="G39:I39"/>
    <mergeCell ref="J39:L39"/>
    <mergeCell ref="B36:F36"/>
    <mergeCell ref="G36:I36"/>
    <mergeCell ref="J36:L36"/>
    <mergeCell ref="B37:F37"/>
    <mergeCell ref="G37:I37"/>
    <mergeCell ref="J37:L37"/>
    <mergeCell ref="B42:F42"/>
    <mergeCell ref="G42:I42"/>
    <mergeCell ref="J42:L42"/>
    <mergeCell ref="B43:F43"/>
    <mergeCell ref="G43:I43"/>
    <mergeCell ref="J43:L43"/>
    <mergeCell ref="B40:F40"/>
    <mergeCell ref="G40:I40"/>
    <mergeCell ref="J40:L40"/>
    <mergeCell ref="B41:F41"/>
    <mergeCell ref="G41:I41"/>
    <mergeCell ref="J41:L41"/>
    <mergeCell ref="A47:A48"/>
    <mergeCell ref="B47:F48"/>
    <mergeCell ref="G47:I48"/>
    <mergeCell ref="J47:L48"/>
    <mergeCell ref="B44:F44"/>
    <mergeCell ref="G44:I44"/>
    <mergeCell ref="J44:L44"/>
    <mergeCell ref="B45:F45"/>
    <mergeCell ref="G45:I45"/>
    <mergeCell ref="J45:L45"/>
    <mergeCell ref="M47:M48"/>
    <mergeCell ref="B49:F49"/>
    <mergeCell ref="G49:I49"/>
    <mergeCell ref="J49:L49"/>
    <mergeCell ref="B50:F50"/>
    <mergeCell ref="G50:I50"/>
    <mergeCell ref="J50:L50"/>
    <mergeCell ref="B46:F46"/>
    <mergeCell ref="G46:I46"/>
    <mergeCell ref="J46:L46"/>
    <mergeCell ref="G57:I57"/>
    <mergeCell ref="J57:L57"/>
    <mergeCell ref="B54:F54"/>
    <mergeCell ref="G54:I54"/>
    <mergeCell ref="J54:L54"/>
    <mergeCell ref="B55:F55"/>
    <mergeCell ref="G55:I55"/>
    <mergeCell ref="J55:L55"/>
    <mergeCell ref="B51:F51"/>
    <mergeCell ref="G51:I51"/>
    <mergeCell ref="J51:L51"/>
    <mergeCell ref="B53:F53"/>
    <mergeCell ref="G53:I53"/>
    <mergeCell ref="J53:L53"/>
    <mergeCell ref="B52:F52"/>
    <mergeCell ref="G52:I52"/>
    <mergeCell ref="J52:L52"/>
    <mergeCell ref="A2:H2"/>
    <mergeCell ref="A64:F64"/>
    <mergeCell ref="H64:I64"/>
    <mergeCell ref="J64:K64"/>
    <mergeCell ref="A65:F65"/>
    <mergeCell ref="H65:I65"/>
    <mergeCell ref="J65:K65"/>
    <mergeCell ref="A62:B62"/>
    <mergeCell ref="H62:I62"/>
    <mergeCell ref="J62:K62"/>
    <mergeCell ref="A63:F63"/>
    <mergeCell ref="H63:I63"/>
    <mergeCell ref="J63:K63"/>
    <mergeCell ref="B58:F58"/>
    <mergeCell ref="G58:I58"/>
    <mergeCell ref="J58:L58"/>
    <mergeCell ref="A59:M59"/>
    <mergeCell ref="A60:L60"/>
    <mergeCell ref="A61:L61"/>
    <mergeCell ref="B56:F56"/>
    <mergeCell ref="G56:I56"/>
    <mergeCell ref="J56:L56"/>
    <mergeCell ref="B57:F57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 8</vt:lpstr>
      <vt:lpstr>Приложение № 16</vt:lpstr>
      <vt:lpstr>Пирложение № 17</vt:lpstr>
      <vt:lpstr>Приложение №12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JKH</dc:creator>
  <cp:lastModifiedBy>buhgalter</cp:lastModifiedBy>
  <cp:lastPrinted>2017-06-01T03:06:11Z</cp:lastPrinted>
  <dcterms:created xsi:type="dcterms:W3CDTF">2016-05-24T05:07:22Z</dcterms:created>
  <dcterms:modified xsi:type="dcterms:W3CDTF">2017-06-01T03:06:32Z</dcterms:modified>
</cp:coreProperties>
</file>